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Orçamento " sheetId="1" r:id="rId1"/>
    <sheet name="Cronograma" sheetId="2" r:id="rId2"/>
    <sheet name="Composições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patricia.waltzer</author>
  </authors>
  <commentList>
    <comment ref="E56" authorId="0">
      <text>
        <r>
          <rPr>
            <b/>
            <sz val="9"/>
            <rFont val="Tahoma"/>
            <family val="2"/>
          </rPr>
          <t>patricia.waltzer:</t>
        </r>
        <r>
          <rPr>
            <sz val="9"/>
            <rFont val="Tahoma"/>
            <family val="2"/>
          </rPr>
          <t xml:space="preserve">
quantidade???
</t>
        </r>
      </text>
    </comment>
  </commentList>
</comments>
</file>

<file path=xl/sharedStrings.xml><?xml version="1.0" encoding="utf-8"?>
<sst xmlns="http://schemas.openxmlformats.org/spreadsheetml/2006/main" count="256" uniqueCount="194">
  <si>
    <t>ITEM</t>
  </si>
  <si>
    <t>QUANT.</t>
  </si>
  <si>
    <t>UNID.</t>
  </si>
  <si>
    <t>m</t>
  </si>
  <si>
    <t>UNIDADE DE GERENCIAMENTO DE PROJETOS</t>
  </si>
  <si>
    <t>CRONOGRAMA FÍSICO-FINANCEIRO</t>
  </si>
  <si>
    <t>DISCRIMINAÇÃO DOS SERVIÇOS</t>
  </si>
  <si>
    <t>%</t>
  </si>
  <si>
    <t>Sianalização Viária</t>
  </si>
  <si>
    <t>TOTAL</t>
  </si>
  <si>
    <t xml:space="preserve"> UNIDADE DE GERENCIAMENTO DE PROJETOS - UGP</t>
  </si>
  <si>
    <t>CÓDIGO</t>
  </si>
  <si>
    <t>DESCRIÇÃO SERVIÇO</t>
  </si>
  <si>
    <t>CUSTOS</t>
  </si>
  <si>
    <t>VALOR TOTAL</t>
  </si>
  <si>
    <t>M.O.</t>
  </si>
  <si>
    <t>MAT.</t>
  </si>
  <si>
    <t>M.O.+MAT</t>
  </si>
  <si>
    <t>Serviços preliminares</t>
  </si>
  <si>
    <t>m2</t>
  </si>
  <si>
    <t>TOTAL GERAL</t>
  </si>
  <si>
    <t xml:space="preserve">(*) O valor apresentado é oriundo do processo de pavimentação das  cinco vias (TP 13/2010) aprovado e atualizado, considerando-se um reajuste de 3,333% ao ano </t>
  </si>
  <si>
    <t xml:space="preserve">  </t>
  </si>
  <si>
    <t>Item</t>
  </si>
  <si>
    <t>PESO</t>
  </si>
  <si>
    <t>VALOR DAS OBRAS E SERVIÇOS R$</t>
  </si>
  <si>
    <t>MESES</t>
  </si>
  <si>
    <t>MÊS 1</t>
  </si>
  <si>
    <t>R$</t>
  </si>
  <si>
    <t>SIMPLES</t>
  </si>
  <si>
    <t>ACUMULADO</t>
  </si>
  <si>
    <t>Pavimentação com blocos de concreto intertravados</t>
  </si>
  <si>
    <t>REFERENTE A OBRA: PAVIMENTAÇÃO EM BLOCOS INTERTRAVADOS DE CONCRETO - RUA DOUTOR ROMANO</t>
  </si>
  <si>
    <t>m3</t>
  </si>
  <si>
    <t>SINAPI - 74209/001</t>
  </si>
  <si>
    <t>SINAPI - 72967</t>
  </si>
  <si>
    <t>Aluguel de container / escrit / WC c/ 1 vaso/ 1 lav / 1 mic/ chuveiro</t>
  </si>
  <si>
    <t>mês</t>
  </si>
  <si>
    <t>SINAPI - 73847/002</t>
  </si>
  <si>
    <t xml:space="preserve">OBRA: RUA DOUTOR ROMANDO - PAVIMENTAÇÃO EM BLOCOS INTERTRAVADOS </t>
  </si>
  <si>
    <t xml:space="preserve">Acessibilidade </t>
  </si>
  <si>
    <t>SINAPI -73710</t>
  </si>
  <si>
    <t>SINAPI - 78018</t>
  </si>
  <si>
    <t>6.1.1</t>
  </si>
  <si>
    <t>6.1.2</t>
  </si>
  <si>
    <t>6.1</t>
  </si>
  <si>
    <t>SINAPI - 9537</t>
  </si>
  <si>
    <t>SINAPI</t>
  </si>
  <si>
    <t>SINAPI - 73710</t>
  </si>
  <si>
    <t>Transporte do material em local bota-fora  - D.M.T 10km</t>
  </si>
  <si>
    <t>Meio-fio de concreto pre-moldado 12 X 30 cm, sobre base de concreto  e rejuntado com argamassa traco 1:3 (cimento e areia)</t>
  </si>
  <si>
    <t xml:space="preserve">Meio-fio de concreto  para confinamento dos blocos intertravados </t>
  </si>
  <si>
    <t>Serviços finais</t>
  </si>
  <si>
    <t>Pavimentação em blocos intertravados de concreto, espessura 8cm, FCK 35MPa, assentados sobre colchão de areia</t>
  </si>
  <si>
    <t>Base para pavimentação com brita graduada -  inclusive compactação (e=5cm)</t>
  </si>
  <si>
    <t>Escavação manual a céu aberto material de 1ª categoria - prof. até 0,50m</t>
  </si>
  <si>
    <t>SINAPI - 73922/003</t>
  </si>
  <si>
    <t>Piso cimentado liso desempenado, esp. 2cm, traço 1:3 (cimento e areia)</t>
  </si>
  <si>
    <t>TOTAL ITEM 6.1</t>
  </si>
  <si>
    <t>Base e sub-base para pavimentação com brita graduada -  inclusive compactação (e=25cm)</t>
  </si>
  <si>
    <t>Limpeza da obra</t>
  </si>
  <si>
    <t>6.2</t>
  </si>
  <si>
    <t>6.2.1</t>
  </si>
  <si>
    <t>6.2.2</t>
  </si>
  <si>
    <t>6.2.3</t>
  </si>
  <si>
    <t>6.2.5</t>
  </si>
  <si>
    <t>6.2.7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</si>
  <si>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</si>
  <si>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</si>
  <si>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</si>
  <si>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</si>
  <si>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</si>
  <si>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</si>
  <si>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</si>
  <si>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</si>
  <si>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6.4</t>
  </si>
  <si>
    <t>6.4.1</t>
  </si>
  <si>
    <t>6.4.2</t>
  </si>
  <si>
    <t>6.4.3</t>
  </si>
  <si>
    <t>6.4.4</t>
  </si>
  <si>
    <t>6.5</t>
  </si>
  <si>
    <t>6.7</t>
  </si>
  <si>
    <t>6.7.1</t>
  </si>
  <si>
    <t>Placas de pare L=0,25m - incluso suporte tipo S1</t>
  </si>
  <si>
    <t>Sinalização horizontal c/tinta base acrílica amarela (eixo tracejado) durabil. 24 meses</t>
  </si>
  <si>
    <t>Sinalização horizontal  c/tinta base acrílica branca (faixas de pedestres) durabil. 24 meses</t>
  </si>
  <si>
    <t>SINAPI - 83444</t>
  </si>
  <si>
    <t>Escavação, carga e transporte de material de 1ª categoria, com trator sobre esteiras e caçamba, DMT de 50 a 200m (espessura de 38 cm)</t>
  </si>
  <si>
    <t>SINAPI - 74154</t>
  </si>
  <si>
    <t>Aterro mecanizado compactado com empréstimo de areia - excluso transporte (espessura de 5cm já compactada, incluso 15% de empolamento no preço unitário)</t>
  </si>
  <si>
    <t>SINAPI - 79484</t>
  </si>
  <si>
    <t xml:space="preserve">Escavação de vala em material de 1ª categoria com profundidade de 1,5 até 3m com retroescavadeira </t>
  </si>
  <si>
    <t>Reaterro com material importado argilo-arenoso, já considerando acréscimo de 25%</t>
  </si>
  <si>
    <t>Transporte de material de qualquer natureza DMT&gt;10km, com caminhão basculante de 4m³</t>
  </si>
  <si>
    <t>6.5.1</t>
  </si>
  <si>
    <t>6.5.2</t>
  </si>
  <si>
    <t>6.5.3</t>
  </si>
  <si>
    <t>6.5.4</t>
  </si>
  <si>
    <t>6.5.5</t>
  </si>
  <si>
    <t>6.5.6</t>
  </si>
  <si>
    <t>unid.</t>
  </si>
  <si>
    <t>Txkm</t>
  </si>
  <si>
    <t>SINAPI - 83659</t>
  </si>
  <si>
    <t>SINAPI- 73962/004</t>
  </si>
  <si>
    <t>SINAPI- 5719</t>
  </si>
  <si>
    <t>SINAPI- 83444</t>
  </si>
  <si>
    <t>Calçadas em concreto magro (e=7cm) inclui canteiro corrido (L=60cm)</t>
  </si>
  <si>
    <t>Base para pavimentação com brita corrida, inclusive compactação, ESP 7CM</t>
  </si>
  <si>
    <t>Execução de calçadas em concreto 1:3:5 (FCK=12 MPA) e=7 cm -  Preparo mecânico</t>
  </si>
  <si>
    <t>Plantio de árvore isoladas até 2,00m</t>
  </si>
  <si>
    <t>Grama batatais em placas - incl. Preparação do solo</t>
  </si>
  <si>
    <t xml:space="preserve">Transporte comercial com caminhão basculante 6m³ em rodovia pavimentada  </t>
  </si>
  <si>
    <t>m3xkm</t>
  </si>
  <si>
    <t>SINAPI - 73711</t>
  </si>
  <si>
    <t>SINAPI - 73892/002</t>
  </si>
  <si>
    <t>SINAPI - 73967/001</t>
  </si>
  <si>
    <t>SINAPI - 74236/001</t>
  </si>
  <si>
    <t>SINAPI - 74255/001</t>
  </si>
  <si>
    <t>Carga Manual de terra vegetal em caminhão basculante</t>
  </si>
  <si>
    <t>Drenagem (equivalente até a rua Almirante Alexandrino de Alencar)</t>
  </si>
  <si>
    <t>6.8</t>
  </si>
  <si>
    <t>6.8.1</t>
  </si>
  <si>
    <t>6.7.2</t>
  </si>
  <si>
    <t>6.7.3</t>
  </si>
  <si>
    <t>6.7.4</t>
  </si>
  <si>
    <t>6.7.5</t>
  </si>
  <si>
    <t>6.7.6</t>
  </si>
  <si>
    <t>6.7.7</t>
  </si>
  <si>
    <t>6.7.8</t>
  </si>
  <si>
    <t>MÊS 2</t>
  </si>
  <si>
    <t>MÊS 3</t>
  </si>
  <si>
    <t>DNIT - 4 S 06 100 32</t>
  </si>
  <si>
    <t>DNIT - 4 S 06 100 31</t>
  </si>
  <si>
    <t>Escavação manual a céu aberto em material de 1ª categoria em profundidade até 0,50 m</t>
  </si>
  <si>
    <t>SINAPI - 73018</t>
  </si>
  <si>
    <t>SINAPI - 72887</t>
  </si>
  <si>
    <t>6.2.8</t>
  </si>
  <si>
    <t>6.2.9</t>
  </si>
  <si>
    <t>DNIT - 4 S 06 200 01</t>
  </si>
  <si>
    <t>SINAPI - 83356</t>
  </si>
  <si>
    <t>6.2.4</t>
  </si>
  <si>
    <t>Transporte comercial de brita</t>
  </si>
  <si>
    <t>6.2.6</t>
  </si>
  <si>
    <t>SINAPI - 73907/003</t>
  </si>
  <si>
    <t>Contrapiso/lastro de concreto não estrutural, e=5cm, preparo com betoneira</t>
  </si>
  <si>
    <t>SINAPI - 73629</t>
  </si>
  <si>
    <t>Ladrilho hidráulico tátil (vermelho - 20 x 20 cm) - com assentamento</t>
  </si>
  <si>
    <t>Placa de obra estrutura em aço galvanizado, dimensão 2,00x 1,25m</t>
  </si>
  <si>
    <t>PLANILHA ORÇAMENTÁRIA - AGOSTO 2014</t>
  </si>
  <si>
    <t>Placas losango lado=0,50m - incluso suporte tipo S1</t>
  </si>
  <si>
    <t>Boca-de-lobo em alvenaria de tijolo maciço, revestida com argamassa de cimento e areia traço 1:3, sobre lastro de concreto 10cm, e tampa de concreto armado</t>
  </si>
  <si>
    <t>6.7.9</t>
  </si>
  <si>
    <t>OBRA :</t>
  </si>
  <si>
    <t>COMPOSIÇÕES</t>
  </si>
  <si>
    <t>LOCAL :</t>
  </si>
  <si>
    <t>DESCRIÇÃO</t>
  </si>
  <si>
    <t>CLASS</t>
  </si>
  <si>
    <t>UNIDADE</t>
  </si>
  <si>
    <t>QUANTIDADE</t>
  </si>
  <si>
    <t>PREÇO(R$)</t>
  </si>
  <si>
    <t>PREÇO TOTAL (R$)/BDI EXCLUSO</t>
  </si>
  <si>
    <t xml:space="preserve">SER.CG </t>
  </si>
  <si>
    <t>PAVIMENTAÇÃO EM BLOCOS INTERTRAVADOS DE CONCRETO - RUA DOUTOR ROMANO</t>
  </si>
  <si>
    <r>
      <t xml:space="preserve">DATA BASE: </t>
    </r>
    <r>
      <rPr>
        <b/>
        <sz val="10"/>
        <color indexed="10"/>
        <rFont val="Arial"/>
        <family val="2"/>
      </rPr>
      <t>AGOSTO/2014</t>
    </r>
  </si>
  <si>
    <t>RUA DOUTOR ROMANO ENTRE RUA AÇORES E RUA PADRE JOSÉ MAURICIO</t>
  </si>
  <si>
    <t>COMP. 001</t>
  </si>
  <si>
    <t>PAVIMENTAÇÃO COM BLOCOS DE CONCRETO INTERTRAVADOS</t>
  </si>
  <si>
    <t>M²</t>
  </si>
  <si>
    <t>M³</t>
  </si>
  <si>
    <t>BLOCO DE CONCRETO INTERTRAVADO 8CM (UNISTEIN)</t>
  </si>
  <si>
    <t>AREIA GROSSA</t>
  </si>
  <si>
    <t xml:space="preserve">MAT. </t>
  </si>
  <si>
    <t>cotação</t>
  </si>
  <si>
    <t xml:space="preserve">PÓ DE PEDRA - POSTO PEDREIRA FORNECEDOR </t>
  </si>
  <si>
    <t>CALCETEIRO</t>
  </si>
  <si>
    <t xml:space="preserve">H </t>
  </si>
  <si>
    <t>SERVENTE</t>
  </si>
  <si>
    <t>COMPACTADOR DE SOLOS COM PLACA VIBRATÓRIA</t>
  </si>
  <si>
    <t xml:space="preserve">M² </t>
  </si>
  <si>
    <t>M.O. C/ BDI 25%</t>
  </si>
  <si>
    <t>MAT. C/BDI 25%</t>
  </si>
  <si>
    <t>TOTAL ITEM 6.2</t>
  </si>
  <si>
    <t>TOTAL ITEM 6.3</t>
  </si>
  <si>
    <t>TOTAL ITEM 6.4</t>
  </si>
  <si>
    <t>TOTAL ITEM 6.5</t>
  </si>
  <si>
    <t>TOTAL ITEM 6.7</t>
  </si>
  <si>
    <t>TOTAL ITEM 6.8</t>
  </si>
  <si>
    <t>Patrícia Waltzer da Silva</t>
  </si>
  <si>
    <t>Engenheira Civil - CREA RS139996</t>
  </si>
  <si>
    <t>ART de orçamento 7720286</t>
  </si>
  <si>
    <t>SINAPI- 7761</t>
  </si>
  <si>
    <t>Tubos concreto armado PA 2, Ø400mm, para águas pluviais</t>
  </si>
  <si>
    <t>Assentamento de tubo de concreto Ø400mm, simples ou armado, junta em argamassa de cim e ar (1:3)</t>
  </si>
  <si>
    <t>SINAPI- 73724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</si>
</sst>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&quot;%&quot;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000"/>
    <numFmt numFmtId="179" formatCode="0.00000"/>
    <numFmt numFmtId="180" formatCode="0.000"/>
    <numFmt numFmtId="181" formatCode="#,##0.00\ ;\-#,##0.00\ ;&quot; -&quot;#\ ;@\ "/>
    <numFmt numFmtId="182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Arial Narrow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i/>
      <sz val="12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>
      <alignment/>
      <protection/>
    </xf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52" applyFont="1" applyBorder="1" applyProtection="1">
      <alignment/>
      <protection/>
    </xf>
    <xf numFmtId="0" fontId="3" fillId="0" borderId="0" xfId="52" applyFont="1" applyProtection="1">
      <alignment/>
      <protection/>
    </xf>
    <xf numFmtId="0" fontId="2" fillId="0" borderId="10" xfId="52" applyFont="1" applyBorder="1" applyAlignment="1" applyProtection="1">
      <alignment horizontal="center" vertical="center"/>
      <protection/>
    </xf>
    <xf numFmtId="10" fontId="3" fillId="0" borderId="0" xfId="52" applyNumberFormat="1" applyFont="1" applyProtection="1">
      <alignment/>
      <protection/>
    </xf>
    <xf numFmtId="10" fontId="2" fillId="0" borderId="10" xfId="52" applyNumberFormat="1" applyFont="1" applyBorder="1" applyAlignment="1" applyProtection="1">
      <alignment horizontal="center" vertical="center"/>
      <protection/>
    </xf>
    <xf numFmtId="4" fontId="2" fillId="0" borderId="10" xfId="52" applyNumberFormat="1" applyFont="1" applyBorder="1" applyAlignment="1" applyProtection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0" fontId="3" fillId="0" borderId="0" xfId="52" applyFont="1" applyAlignment="1" applyProtection="1">
      <alignment horizontal="center"/>
      <protection/>
    </xf>
    <xf numFmtId="0" fontId="0" fillId="0" borderId="0" xfId="0" applyFill="1" applyAlignment="1">
      <alignment/>
    </xf>
    <xf numFmtId="4" fontId="3" fillId="0" borderId="0" xfId="52" applyNumberFormat="1" applyFont="1" applyProtection="1">
      <alignment/>
      <protection/>
    </xf>
    <xf numFmtId="0" fontId="63" fillId="0" borderId="0" xfId="0" applyFont="1" applyAlignment="1">
      <alignment/>
    </xf>
    <xf numFmtId="0" fontId="14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43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2" fontId="0" fillId="0" borderId="14" xfId="0" applyNumberForma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7" fillId="0" borderId="13" xfId="49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2" fontId="13" fillId="0" borderId="10" xfId="57" applyNumberFormat="1" applyFont="1" applyFill="1" applyBorder="1" applyAlignment="1">
      <alignment vertical="center"/>
    </xf>
    <xf numFmtId="2" fontId="13" fillId="0" borderId="14" xfId="57" applyNumberFormat="1" applyFont="1" applyFill="1" applyBorder="1" applyAlignment="1">
      <alignment horizontal="center" vertical="center"/>
    </xf>
    <xf numFmtId="2" fontId="15" fillId="0" borderId="13" xfId="49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center" vertical="center"/>
    </xf>
    <xf numFmtId="2" fontId="16" fillId="33" borderId="10" xfId="57" applyNumberFormat="1" applyFont="1" applyFill="1" applyBorder="1" applyAlignment="1">
      <alignment vertical="center"/>
    </xf>
    <xf numFmtId="2" fontId="16" fillId="33" borderId="10" xfId="57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center" vertical="center"/>
    </xf>
    <xf numFmtId="2" fontId="16" fillId="0" borderId="10" xfId="57" applyNumberFormat="1" applyFont="1" applyFill="1" applyBorder="1" applyAlignment="1">
      <alignment horizontal="center" vertical="center"/>
    </xf>
    <xf numFmtId="2" fontId="16" fillId="0" borderId="14" xfId="57" applyNumberFormat="1" applyFont="1" applyFill="1" applyBorder="1" applyAlignment="1">
      <alignment horizontal="center" vertical="center"/>
    </xf>
    <xf numFmtId="2" fontId="7" fillId="0" borderId="13" xfId="49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2" fontId="13" fillId="0" borderId="10" xfId="57" applyNumberFormat="1" applyFont="1" applyFill="1" applyBorder="1" applyAlignment="1">
      <alignment horizontal="center" vertical="center"/>
    </xf>
    <xf numFmtId="2" fontId="15" fillId="0" borderId="13" xfId="49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43" fontId="15" fillId="0" borderId="13" xfId="57" applyFont="1" applyFill="1" applyBorder="1" applyAlignment="1">
      <alignment horizontal="center" vertical="center"/>
    </xf>
    <xf numFmtId="49" fontId="23" fillId="35" borderId="0" xfId="45" applyNumberFormat="1" applyFont="1" applyFill="1" applyBorder="1" applyAlignment="1" applyProtection="1">
      <alignment horizontal="right" wrapText="1"/>
      <protection/>
    </xf>
    <xf numFmtId="0" fontId="23" fillId="35" borderId="0" xfId="45" applyNumberFormat="1" applyFont="1" applyFill="1" applyBorder="1" applyAlignment="1" applyProtection="1">
      <alignment horizontal="left" wrapText="1"/>
      <protection/>
    </xf>
    <xf numFmtId="0" fontId="23" fillId="35" borderId="0" xfId="45" applyNumberFormat="1" applyFont="1" applyFill="1" applyBorder="1" applyAlignment="1" applyProtection="1">
      <alignment horizontal="right" wrapText="1"/>
      <protection/>
    </xf>
    <xf numFmtId="181" fontId="23" fillId="35" borderId="0" xfId="57" applyNumberFormat="1" applyFont="1" applyFill="1" applyBorder="1" applyAlignment="1" applyProtection="1">
      <alignment horizontal="right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0" fontId="2" fillId="0" borderId="12" xfId="52" applyFont="1" applyBorder="1" applyAlignment="1" applyProtection="1">
      <alignment horizontal="center" vertical="center"/>
      <protection/>
    </xf>
    <xf numFmtId="0" fontId="2" fillId="0" borderId="12" xfId="52" applyFont="1" applyBorder="1" applyAlignment="1" applyProtection="1">
      <alignment horizontal="center"/>
      <protection/>
    </xf>
    <xf numFmtId="4" fontId="2" fillId="0" borderId="13" xfId="52" applyNumberFormat="1" applyFont="1" applyBorder="1" applyAlignment="1" applyProtection="1">
      <alignment horizontal="center" vertical="center"/>
      <protection/>
    </xf>
    <xf numFmtId="0" fontId="2" fillId="36" borderId="10" xfId="52" applyFont="1" applyFill="1" applyBorder="1" applyAlignment="1" applyProtection="1">
      <alignment horizontal="center"/>
      <protection/>
    </xf>
    <xf numFmtId="0" fontId="2" fillId="36" borderId="13" xfId="52" applyFont="1" applyFill="1" applyBorder="1" applyAlignment="1" applyProtection="1">
      <alignment horizont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4" fontId="2" fillId="0" borderId="10" xfId="59" applyNumberFormat="1" applyFont="1" applyFill="1" applyBorder="1" applyAlignment="1" applyProtection="1">
      <alignment horizontal="center" vertical="center"/>
      <protection locked="0"/>
    </xf>
    <xf numFmtId="2" fontId="19" fillId="0" borderId="10" xfId="52" applyNumberFormat="1" applyFont="1" applyFill="1" applyBorder="1" applyAlignment="1" applyProtection="1">
      <alignment horizontal="center" vertical="center"/>
      <protection locked="0"/>
    </xf>
    <xf numFmtId="4" fontId="2" fillId="0" borderId="10" xfId="59" applyNumberFormat="1" applyFont="1" applyFill="1" applyBorder="1" applyAlignment="1" applyProtection="1">
      <alignment horizontal="center" vertical="center"/>
      <protection/>
    </xf>
    <xf numFmtId="4" fontId="2" fillId="0" borderId="13" xfId="59" applyNumberFormat="1" applyFont="1" applyFill="1" applyBorder="1" applyAlignment="1" applyProtection="1">
      <alignment horizontal="center" vertical="center"/>
      <protection/>
    </xf>
    <xf numFmtId="0" fontId="18" fillId="36" borderId="10" xfId="52" applyFont="1" applyFill="1" applyBorder="1" applyAlignment="1" applyProtection="1">
      <alignment horizontal="center" vertical="center"/>
      <protection/>
    </xf>
    <xf numFmtId="173" fontId="19" fillId="36" borderId="10" xfId="52" applyNumberFormat="1" applyFont="1" applyFill="1" applyBorder="1" applyAlignment="1" applyProtection="1">
      <alignment horizontal="center" vertical="center" shrinkToFit="1"/>
      <protection/>
    </xf>
    <xf numFmtId="4" fontId="18" fillId="36" borderId="10" xfId="59" applyNumberFormat="1" applyFont="1" applyFill="1" applyBorder="1" applyAlignment="1" applyProtection="1">
      <alignment horizontal="center" vertical="center" shrinkToFit="1"/>
      <protection/>
    </xf>
    <xf numFmtId="4" fontId="18" fillId="36" borderId="13" xfId="59" applyNumberFormat="1" applyFont="1" applyFill="1" applyBorder="1" applyAlignment="1" applyProtection="1">
      <alignment horizontal="center" vertical="center" shrinkToFit="1"/>
      <protection/>
    </xf>
    <xf numFmtId="0" fontId="18" fillId="36" borderId="15" xfId="52" applyFont="1" applyFill="1" applyBorder="1" applyAlignment="1" applyProtection="1">
      <alignment horizontal="center" vertical="center"/>
      <protection/>
    </xf>
    <xf numFmtId="173" fontId="19" fillId="36" borderId="15" xfId="52" applyNumberFormat="1" applyFont="1" applyFill="1" applyBorder="1" applyAlignment="1" applyProtection="1">
      <alignment horizontal="center" vertical="center" shrinkToFit="1"/>
      <protection/>
    </xf>
    <xf numFmtId="4" fontId="18" fillId="36" borderId="15" xfId="59" applyNumberFormat="1" applyFont="1" applyFill="1" applyBorder="1" applyAlignment="1" applyProtection="1">
      <alignment horizontal="center" vertical="center" shrinkToFit="1"/>
      <protection/>
    </xf>
    <xf numFmtId="4" fontId="18" fillId="36" borderId="16" xfId="59" applyNumberFormat="1" applyFont="1" applyFill="1" applyBorder="1" applyAlignment="1" applyProtection="1">
      <alignment horizontal="center" vertical="center" shrinkToFit="1"/>
      <protection/>
    </xf>
    <xf numFmtId="10" fontId="2" fillId="0" borderId="10" xfId="52" applyNumberFormat="1" applyFont="1" applyFill="1" applyBorder="1" applyAlignment="1" applyProtection="1">
      <alignment horizontal="center" vertical="center"/>
      <protection/>
    </xf>
    <xf numFmtId="10" fontId="2" fillId="0" borderId="10" xfId="54" applyNumberFormat="1" applyFont="1" applyFill="1" applyBorder="1" applyAlignment="1" applyProtection="1">
      <alignment horizontal="center" vertical="center"/>
      <protection/>
    </xf>
    <xf numFmtId="0" fontId="8" fillId="36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right" vertical="center"/>
    </xf>
    <xf numFmtId="2" fontId="13" fillId="0" borderId="21" xfId="0" applyNumberFormat="1" applyFont="1" applyFill="1" applyBorder="1" applyAlignment="1">
      <alignment horizontal="center" vertical="center"/>
    </xf>
    <xf numFmtId="2" fontId="15" fillId="0" borderId="21" xfId="0" applyNumberFormat="1" applyFont="1" applyFill="1" applyBorder="1" applyAlignment="1">
      <alignment horizontal="center" vertical="center"/>
    </xf>
    <xf numFmtId="43" fontId="13" fillId="0" borderId="10" xfId="57" applyFont="1" applyFill="1" applyBorder="1" applyAlignment="1">
      <alignment horizontal="center" vertical="center"/>
    </xf>
    <xf numFmtId="0" fontId="0" fillId="36" borderId="22" xfId="0" applyFill="1" applyBorder="1" applyAlignment="1">
      <alignment/>
    </xf>
    <xf numFmtId="0" fontId="0" fillId="36" borderId="20" xfId="0" applyFill="1" applyBorder="1" applyAlignment="1">
      <alignment/>
    </xf>
    <xf numFmtId="0" fontId="10" fillId="36" borderId="20" xfId="0" applyFont="1" applyFill="1" applyBorder="1" applyAlignment="1">
      <alignment horizontal="center"/>
    </xf>
    <xf numFmtId="0" fontId="14" fillId="36" borderId="20" xfId="0" applyFont="1" applyFill="1" applyBorder="1" applyAlignment="1">
      <alignment horizontal="center"/>
    </xf>
    <xf numFmtId="43" fontId="14" fillId="36" borderId="20" xfId="57" applyFont="1" applyFill="1" applyBorder="1" applyAlignment="1">
      <alignment/>
    </xf>
    <xf numFmtId="43" fontId="13" fillId="36" borderId="20" xfId="57" applyFont="1" applyFill="1" applyBorder="1" applyAlignment="1">
      <alignment/>
    </xf>
    <xf numFmtId="44" fontId="10" fillId="36" borderId="23" xfId="49" applyFont="1" applyFill="1" applyBorder="1" applyAlignment="1">
      <alignment/>
    </xf>
    <xf numFmtId="49" fontId="23" fillId="37" borderId="24" xfId="45" applyNumberFormat="1" applyFont="1" applyFill="1" applyBorder="1" applyAlignment="1" applyProtection="1">
      <alignment horizontal="right" wrapText="1"/>
      <protection/>
    </xf>
    <xf numFmtId="181" fontId="23" fillId="37" borderId="17" xfId="57" applyNumberFormat="1" applyFont="1" applyFill="1" applyBorder="1" applyAlignment="1" applyProtection="1">
      <alignment horizontal="right" wrapText="1"/>
      <protection/>
    </xf>
    <xf numFmtId="181" fontId="23" fillId="37" borderId="25" xfId="57" applyNumberFormat="1" applyFont="1" applyFill="1" applyBorder="1" applyAlignment="1" applyProtection="1">
      <alignment horizontal="right" wrapText="1"/>
      <protection/>
    </xf>
    <xf numFmtId="49" fontId="23" fillId="37" borderId="22" xfId="45" applyNumberFormat="1" applyFont="1" applyFill="1" applyBorder="1" applyAlignment="1" applyProtection="1">
      <alignment horizontal="right" wrapText="1"/>
      <protection/>
    </xf>
    <xf numFmtId="0" fontId="23" fillId="37" borderId="20" xfId="45" applyNumberFormat="1" applyFont="1" applyFill="1" applyBorder="1" applyAlignment="1" applyProtection="1">
      <alignment horizontal="left" wrapText="1"/>
      <protection/>
    </xf>
    <xf numFmtId="0" fontId="23" fillId="37" borderId="20" xfId="45" applyNumberFormat="1" applyFont="1" applyFill="1" applyBorder="1" applyAlignment="1" applyProtection="1">
      <alignment horizontal="right" wrapText="1"/>
      <protection/>
    </xf>
    <xf numFmtId="49" fontId="23" fillId="38" borderId="10" xfId="45" applyNumberFormat="1" applyFont="1" applyFill="1" applyBorder="1" applyAlignment="1" applyProtection="1">
      <alignment horizontal="center" vertical="center" wrapText="1"/>
      <protection/>
    </xf>
    <xf numFmtId="0" fontId="23" fillId="38" borderId="10" xfId="45" applyNumberFormat="1" applyFont="1" applyFill="1" applyBorder="1" applyAlignment="1" applyProtection="1">
      <alignment horizontal="center" vertical="center" wrapText="1"/>
      <protection/>
    </xf>
    <xf numFmtId="181" fontId="23" fillId="38" borderId="10" xfId="57" applyNumberFormat="1" applyFont="1" applyFill="1" applyBorder="1" applyAlignment="1" applyProtection="1">
      <alignment horizontal="right" vertical="center" wrapText="1"/>
      <protection/>
    </xf>
    <xf numFmtId="181" fontId="23" fillId="38" borderId="10" xfId="57" applyNumberFormat="1" applyFont="1" applyFill="1" applyBorder="1" applyAlignment="1" applyProtection="1">
      <alignment horizontal="center" vertical="center" wrapText="1"/>
      <protection/>
    </xf>
    <xf numFmtId="49" fontId="26" fillId="39" borderId="10" xfId="45" applyNumberFormat="1" applyFont="1" applyFill="1" applyBorder="1" applyAlignment="1">
      <alignment horizontal="left" vertical="top" wrapText="1"/>
      <protection/>
    </xf>
    <xf numFmtId="0" fontId="26" fillId="39" borderId="10" xfId="45" applyFont="1" applyFill="1" applyBorder="1" applyAlignment="1">
      <alignment horizontal="left" vertical="top" wrapText="1"/>
      <protection/>
    </xf>
    <xf numFmtId="0" fontId="26" fillId="39" borderId="10" xfId="45" applyFont="1" applyFill="1" applyBorder="1" applyAlignment="1">
      <alignment horizontal="center" vertical="top" wrapText="1"/>
      <protection/>
    </xf>
    <xf numFmtId="0" fontId="26" fillId="39" borderId="10" xfId="45" applyFont="1" applyFill="1" applyBorder="1" applyAlignment="1">
      <alignment horizontal="right" vertical="top" wrapText="1"/>
      <protection/>
    </xf>
    <xf numFmtId="180" fontId="26" fillId="39" borderId="10" xfId="45" applyNumberFormat="1" applyFont="1" applyFill="1" applyBorder="1" applyAlignment="1">
      <alignment horizontal="right" vertical="top" wrapText="1"/>
      <protection/>
    </xf>
    <xf numFmtId="4" fontId="26" fillId="39" borderId="10" xfId="45" applyNumberFormat="1" applyFont="1" applyFill="1" applyBorder="1" applyAlignment="1">
      <alignment horizontal="right" vertical="top" wrapText="1"/>
      <protection/>
    </xf>
    <xf numFmtId="49" fontId="25" fillId="0" borderId="10" xfId="45" applyNumberFormat="1" applyFont="1" applyFill="1" applyBorder="1" applyAlignment="1">
      <alignment horizontal="right" vertical="top" wrapText="1"/>
      <protection/>
    </xf>
    <xf numFmtId="4" fontId="25" fillId="0" borderId="10" xfId="45" applyNumberFormat="1" applyFont="1" applyFill="1" applyBorder="1" applyAlignment="1">
      <alignment horizontal="left" vertical="top" wrapText="1"/>
      <protection/>
    </xf>
    <xf numFmtId="4" fontId="25" fillId="0" borderId="10" xfId="45" applyNumberFormat="1" applyFont="1" applyFill="1" applyBorder="1" applyAlignment="1">
      <alignment horizontal="center" vertical="top" wrapText="1"/>
      <protection/>
    </xf>
    <xf numFmtId="4" fontId="25" fillId="0" borderId="10" xfId="45" applyNumberFormat="1" applyFont="1" applyFill="1" applyBorder="1" applyAlignment="1">
      <alignment horizontal="right" vertical="top" wrapText="1"/>
      <protection/>
    </xf>
    <xf numFmtId="182" fontId="25" fillId="0" borderId="10" xfId="45" applyNumberFormat="1" applyFont="1" applyFill="1" applyBorder="1" applyAlignment="1">
      <alignment horizontal="right" vertical="top" wrapText="1"/>
      <protection/>
    </xf>
    <xf numFmtId="2" fontId="15" fillId="0" borderId="14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vertical="center"/>
    </xf>
    <xf numFmtId="0" fontId="8" fillId="36" borderId="28" xfId="0" applyFont="1" applyFill="1" applyBorder="1" applyAlignment="1">
      <alignment horizontal="center" vertical="center"/>
    </xf>
    <xf numFmtId="0" fontId="9" fillId="36" borderId="2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36" borderId="26" xfId="0" applyFont="1" applyFill="1" applyBorder="1" applyAlignment="1">
      <alignment horizontal="center" vertical="center"/>
    </xf>
    <xf numFmtId="0" fontId="0" fillId="36" borderId="27" xfId="0" applyFill="1" applyBorder="1" applyAlignment="1">
      <alignment vertical="center"/>
    </xf>
    <xf numFmtId="0" fontId="8" fillId="36" borderId="30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0" borderId="0" xfId="52" applyFont="1" applyBorder="1" applyAlignment="1" applyProtection="1">
      <alignment horizontal="center"/>
      <protection/>
    </xf>
    <xf numFmtId="0" fontId="3" fillId="0" borderId="0" xfId="52" applyFont="1" applyAlignment="1" applyProtection="1">
      <alignment horizontal="center"/>
      <protection/>
    </xf>
    <xf numFmtId="0" fontId="18" fillId="36" borderId="31" xfId="52" applyFont="1" applyFill="1" applyBorder="1" applyAlignment="1" applyProtection="1">
      <alignment horizontal="center" vertical="center" wrapText="1"/>
      <protection/>
    </xf>
    <xf numFmtId="0" fontId="18" fillId="36" borderId="12" xfId="52" applyFont="1" applyFill="1" applyBorder="1" applyAlignment="1" applyProtection="1">
      <alignment horizontal="center" vertical="center" wrapText="1"/>
      <protection/>
    </xf>
    <xf numFmtId="0" fontId="18" fillId="36" borderId="12" xfId="52" applyFont="1" applyFill="1" applyBorder="1" applyAlignment="1" applyProtection="1">
      <alignment horizontal="center" vertical="center" textRotation="90"/>
      <protection/>
    </xf>
    <xf numFmtId="0" fontId="18" fillId="36" borderId="32" xfId="52" applyFont="1" applyFill="1" applyBorder="1" applyAlignment="1" applyProtection="1">
      <alignment horizontal="center" vertical="center" textRotation="90"/>
      <protection/>
    </xf>
    <xf numFmtId="10" fontId="18" fillId="36" borderId="10" xfId="52" applyNumberFormat="1" applyFont="1" applyFill="1" applyBorder="1" applyAlignment="1" applyProtection="1">
      <alignment horizontal="center" vertical="center"/>
      <protection/>
    </xf>
    <xf numFmtId="10" fontId="18" fillId="36" borderId="15" xfId="52" applyNumberFormat="1" applyFont="1" applyFill="1" applyBorder="1" applyAlignment="1" applyProtection="1">
      <alignment horizontal="center" vertical="center"/>
      <protection/>
    </xf>
    <xf numFmtId="4" fontId="18" fillId="36" borderId="33" xfId="59" applyNumberFormat="1" applyFont="1" applyFill="1" applyBorder="1" applyAlignment="1" applyProtection="1">
      <alignment horizontal="center" vertical="center"/>
      <protection/>
    </xf>
    <xf numFmtId="4" fontId="18" fillId="36" borderId="34" xfId="59" applyNumberFormat="1" applyFont="1" applyFill="1" applyBorder="1" applyAlignment="1" applyProtection="1">
      <alignment horizontal="center" vertical="center"/>
      <protection/>
    </xf>
    <xf numFmtId="0" fontId="3" fillId="0" borderId="0" xfId="52" applyFont="1" applyBorder="1" applyAlignment="1" applyProtection="1">
      <alignment horizontal="center"/>
      <protection/>
    </xf>
    <xf numFmtId="0" fontId="18" fillId="36" borderId="35" xfId="52" applyFont="1" applyFill="1" applyBorder="1" applyAlignment="1" applyProtection="1">
      <alignment horizontal="center"/>
      <protection/>
    </xf>
    <xf numFmtId="0" fontId="18" fillId="36" borderId="35" xfId="52" applyFont="1" applyFill="1" applyBorder="1" applyAlignment="1" applyProtection="1">
      <alignment horizontal="center" vertical="center" wrapText="1"/>
      <protection/>
    </xf>
    <xf numFmtId="0" fontId="18" fillId="36" borderId="10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Alignment="1">
      <alignment horizontal="center"/>
      <protection/>
    </xf>
    <xf numFmtId="0" fontId="18" fillId="36" borderId="10" xfId="52" applyFont="1" applyFill="1" applyBorder="1" applyAlignment="1" applyProtection="1">
      <alignment horizontal="center"/>
      <protection/>
    </xf>
    <xf numFmtId="0" fontId="18" fillId="36" borderId="36" xfId="52" applyFont="1" applyFill="1" applyBorder="1" applyAlignment="1" applyProtection="1">
      <alignment horizontal="center"/>
      <protection/>
    </xf>
    <xf numFmtId="0" fontId="18" fillId="36" borderId="13" xfId="52" applyFont="1" applyFill="1" applyBorder="1" applyAlignment="1" applyProtection="1">
      <alignment horizontal="center"/>
      <protection/>
    </xf>
    <xf numFmtId="181" fontId="23" fillId="37" borderId="20" xfId="57" applyNumberFormat="1" applyFont="1" applyFill="1" applyBorder="1" applyAlignment="1" applyProtection="1">
      <alignment horizontal="right" wrapText="1"/>
      <protection/>
    </xf>
    <xf numFmtId="181" fontId="23" fillId="37" borderId="23" xfId="57" applyNumberFormat="1" applyFont="1" applyFill="1" applyBorder="1" applyAlignment="1" applyProtection="1">
      <alignment horizontal="right" wrapText="1"/>
      <protection/>
    </xf>
    <xf numFmtId="0" fontId="23" fillId="37" borderId="17" xfId="45" applyNumberFormat="1" applyFont="1" applyFill="1" applyBorder="1" applyAlignment="1" applyProtection="1">
      <alignment horizontal="left" wrapText="1"/>
      <protection/>
    </xf>
    <xf numFmtId="0" fontId="23" fillId="37" borderId="20" xfId="45" applyNumberFormat="1" applyFont="1" applyFill="1" applyBorder="1" applyAlignment="1" applyProtection="1">
      <alignment horizontal="left"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1" xfId="45"/>
    <cellStyle name="Hyperlink" xfId="46"/>
    <cellStyle name="Followed Hyperlink" xfId="47"/>
    <cellStyle name="Incorreto" xfId="48"/>
    <cellStyle name="Currency" xfId="49"/>
    <cellStyle name="Currency [0]" xfId="50"/>
    <cellStyle name="Neutra" xfId="51"/>
    <cellStyle name="Normal 2" xfId="52"/>
    <cellStyle name="Nota" xfId="53"/>
    <cellStyle name="Percent" xfId="54"/>
    <cellStyle name="Porcentagem 2" xfId="55"/>
    <cellStyle name="Saída" xfId="56"/>
    <cellStyle name="Comm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dxfs count="10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3971925</xdr:colOff>
      <xdr:row>0</xdr:row>
      <xdr:rowOff>66675</xdr:rowOff>
    </xdr:from>
    <xdr:to>
      <xdr:col>4</xdr:col>
      <xdr:colOff>409575</xdr:colOff>
      <xdr:row>3</xdr:row>
      <xdr:rowOff>152400</xdr:rowOff>
    </xdr:to>
    <xdr:pic>
      <xdr:nvPicPr>
        <xdr:cNvPr id="1" name="Picture 461" descr="Logo Prefei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66675"/>
          <a:ext cx="1714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3676650</xdr:colOff>
      <xdr:row>0</xdr:row>
      <xdr:rowOff>95250</xdr:rowOff>
    </xdr:from>
    <xdr:to>
      <xdr:col>3</xdr:col>
      <xdr:colOff>485775</xdr:colOff>
      <xdr:row>3</xdr:row>
      <xdr:rowOff>142875</xdr:rowOff>
    </xdr:to>
    <xdr:pic>
      <xdr:nvPicPr>
        <xdr:cNvPr id="1" name="Picture 461" descr="Logo Prefei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95250"/>
          <a:ext cx="1409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90" zoomScaleNormal="90" zoomScalePageLayoutView="0" workbookViewId="0" topLeftCell="B51">
      <selection activeCell="A1" sqref="A1:L3"/>
    </sheetView>
  </sheetViews>
  <sheetFormatPr defaultColWidth="9.140625" defaultRowHeight="15"/>
  <cols>
    <col min="1" max="1" width="16.57421875" style="0" customWidth="1"/>
    <col min="2" max="2" width="7.00390625" style="0" customWidth="1"/>
    <col min="3" max="3" width="72.8515625" style="0" customWidth="1"/>
    <col min="4" max="4" width="6.28125" style="0" customWidth="1"/>
    <col min="5" max="5" width="9.8515625" style="0" bestFit="1" customWidth="1"/>
    <col min="6" max="6" width="8.7109375" style="0" customWidth="1"/>
    <col min="7" max="7" width="8.421875" style="0" bestFit="1" customWidth="1"/>
    <col min="8" max="8" width="17.8515625" style="4" customWidth="1"/>
    <col min="9" max="9" width="8.7109375" style="4" bestFit="1" customWidth="1"/>
    <col min="10" max="10" width="16.7109375" style="4" customWidth="1"/>
    <col min="11" max="11" width="15.00390625" style="0" customWidth="1"/>
    <col min="12" max="12" width="14.28125" style="0" customWidth="1"/>
  </cols>
  <sheetData>
    <row r="1" spans="1:12" ht="1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2:12" ht="15.75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 ht="15" customHeight="1">
      <c r="A5" s="134" t="s">
        <v>10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2:12" ht="15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ht="15">
      <c r="A7" s="135" t="s">
        <v>148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</row>
    <row r="8" spans="1:12" ht="15">
      <c r="A8" s="135" t="s">
        <v>32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</row>
    <row r="9" spans="2:12" ht="15.75" thickBot="1"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2" ht="15.75" thickBot="1">
      <c r="A10" s="131" t="s">
        <v>11</v>
      </c>
      <c r="B10" s="138" t="s">
        <v>0</v>
      </c>
      <c r="C10" s="131" t="s">
        <v>12</v>
      </c>
      <c r="D10" s="129" t="s">
        <v>2</v>
      </c>
      <c r="E10" s="129" t="s">
        <v>1</v>
      </c>
      <c r="F10" s="87"/>
      <c r="G10" s="140" t="s">
        <v>13</v>
      </c>
      <c r="H10" s="140"/>
      <c r="I10" s="140"/>
      <c r="J10" s="140"/>
      <c r="K10" s="141"/>
      <c r="L10" s="129" t="s">
        <v>14</v>
      </c>
    </row>
    <row r="11" spans="1:12" ht="15.75" thickBot="1">
      <c r="A11" s="132"/>
      <c r="B11" s="139"/>
      <c r="C11" s="132"/>
      <c r="D11" s="130"/>
      <c r="E11" s="132"/>
      <c r="F11" s="88" t="s">
        <v>47</v>
      </c>
      <c r="G11" s="89" t="s">
        <v>15</v>
      </c>
      <c r="H11" s="90" t="s">
        <v>179</v>
      </c>
      <c r="I11" s="90" t="s">
        <v>16</v>
      </c>
      <c r="J11" s="91" t="s">
        <v>180</v>
      </c>
      <c r="K11" s="88" t="s">
        <v>17</v>
      </c>
      <c r="L11" s="130"/>
    </row>
    <row r="12" spans="1:12" s="14" customFormat="1" ht="15.75">
      <c r="A12" s="24"/>
      <c r="B12" s="25" t="s">
        <v>45</v>
      </c>
      <c r="C12" s="26" t="s">
        <v>18</v>
      </c>
      <c r="D12" s="27"/>
      <c r="E12" s="28"/>
      <c r="F12" s="28"/>
      <c r="G12" s="28"/>
      <c r="H12" s="28"/>
      <c r="I12" s="28"/>
      <c r="J12" s="28"/>
      <c r="K12" s="28"/>
      <c r="L12" s="29"/>
    </row>
    <row r="13" spans="1:12" s="14" customFormat="1" ht="15">
      <c r="A13" s="20" t="s">
        <v>34</v>
      </c>
      <c r="B13" s="17" t="s">
        <v>43</v>
      </c>
      <c r="C13" s="18" t="s">
        <v>147</v>
      </c>
      <c r="D13" s="22" t="s">
        <v>19</v>
      </c>
      <c r="E13" s="23">
        <f>2*1.25</f>
        <v>2.5</v>
      </c>
      <c r="F13" s="23">
        <v>212.99</v>
      </c>
      <c r="G13" s="23">
        <f>F13*0.4</f>
        <v>85.19600000000001</v>
      </c>
      <c r="H13" s="23">
        <f>G13*1.25</f>
        <v>106.49500000000002</v>
      </c>
      <c r="I13" s="23">
        <f>F13*0.6</f>
        <v>127.794</v>
      </c>
      <c r="J13" s="23">
        <f>I13*1.25</f>
        <v>159.7425</v>
      </c>
      <c r="K13" s="23">
        <f>H13+J13</f>
        <v>266.2375</v>
      </c>
      <c r="L13" s="30">
        <f>ROUND(K13*E13,2)</f>
        <v>665.59</v>
      </c>
    </row>
    <row r="14" spans="1:12" s="14" customFormat="1" ht="15">
      <c r="A14" s="20" t="s">
        <v>38</v>
      </c>
      <c r="B14" s="17" t="s">
        <v>44</v>
      </c>
      <c r="C14" s="18" t="s">
        <v>36</v>
      </c>
      <c r="D14" s="22" t="s">
        <v>37</v>
      </c>
      <c r="E14" s="23">
        <v>3</v>
      </c>
      <c r="F14" s="23">
        <v>479.6</v>
      </c>
      <c r="G14" s="23">
        <f>F14*0.4</f>
        <v>191.84000000000003</v>
      </c>
      <c r="H14" s="23">
        <f>G14*1.25</f>
        <v>239.80000000000004</v>
      </c>
      <c r="I14" s="23">
        <f>F14*0.6</f>
        <v>287.76</v>
      </c>
      <c r="J14" s="23">
        <f>I14*1.25</f>
        <v>359.7</v>
      </c>
      <c r="K14" s="23">
        <f>H14+J14</f>
        <v>599.5</v>
      </c>
      <c r="L14" s="30">
        <f>ROUND(K14*E14,2)</f>
        <v>1798.5</v>
      </c>
    </row>
    <row r="15" spans="1:12" s="14" customFormat="1" ht="15">
      <c r="A15" s="31"/>
      <c r="B15" s="32"/>
      <c r="C15" s="33"/>
      <c r="D15" s="33"/>
      <c r="E15" s="34"/>
      <c r="F15" s="35"/>
      <c r="G15" s="23"/>
      <c r="H15" s="36"/>
      <c r="I15" s="23"/>
      <c r="J15" s="124" t="s">
        <v>58</v>
      </c>
      <c r="K15" s="125"/>
      <c r="L15" s="37">
        <f>SUM(L13:L14)</f>
        <v>2464.09</v>
      </c>
    </row>
    <row r="16" spans="1:12" ht="15.75">
      <c r="A16" s="24"/>
      <c r="B16" s="25" t="s">
        <v>61</v>
      </c>
      <c r="C16" s="26" t="s">
        <v>31</v>
      </c>
      <c r="D16" s="27"/>
      <c r="E16" s="28"/>
      <c r="F16" s="28"/>
      <c r="G16" s="28"/>
      <c r="H16" s="28"/>
      <c r="I16" s="28"/>
      <c r="J16" s="28"/>
      <c r="K16" s="28"/>
      <c r="L16" s="29"/>
    </row>
    <row r="17" spans="1:12" s="14" customFormat="1" ht="27" customHeight="1">
      <c r="A17" s="19" t="s">
        <v>88</v>
      </c>
      <c r="B17" s="17" t="s">
        <v>62</v>
      </c>
      <c r="C17" s="18" t="s">
        <v>87</v>
      </c>
      <c r="D17" s="22" t="s">
        <v>33</v>
      </c>
      <c r="E17" s="23">
        <v>828.4</v>
      </c>
      <c r="F17" s="23">
        <v>4.57</v>
      </c>
      <c r="G17" s="23">
        <f aca="true" t="shared" si="0" ref="G17:G25">F17*0.4</f>
        <v>1.8280000000000003</v>
      </c>
      <c r="H17" s="23">
        <f>G17*1.25</f>
        <v>2.285</v>
      </c>
      <c r="I17" s="23">
        <f aca="true" t="shared" si="1" ref="I17:I25">F17*0.6</f>
        <v>2.742</v>
      </c>
      <c r="J17" s="23">
        <f>I17*1.25</f>
        <v>3.4275</v>
      </c>
      <c r="K17" s="23">
        <f aca="true" t="shared" si="2" ref="K17:K25">H17+J17</f>
        <v>5.7125</v>
      </c>
      <c r="L17" s="30">
        <f aca="true" t="shared" si="3" ref="L17:L25">ROUND(K17*E17,2)</f>
        <v>4732.24</v>
      </c>
    </row>
    <row r="18" spans="1:12" s="14" customFormat="1" ht="15">
      <c r="A18" s="19" t="s">
        <v>86</v>
      </c>
      <c r="B18" s="17" t="s">
        <v>63</v>
      </c>
      <c r="C18" s="18" t="s">
        <v>49</v>
      </c>
      <c r="D18" s="22" t="s">
        <v>101</v>
      </c>
      <c r="E18" s="23">
        <v>15510.52</v>
      </c>
      <c r="F18" s="23">
        <v>0.73</v>
      </c>
      <c r="G18" s="23">
        <f t="shared" si="0"/>
        <v>0.292</v>
      </c>
      <c r="H18" s="23">
        <f aca="true" t="shared" si="4" ref="H18:H25">G18*1.25</f>
        <v>0.365</v>
      </c>
      <c r="I18" s="23">
        <f t="shared" si="1"/>
        <v>0.438</v>
      </c>
      <c r="J18" s="23">
        <f aca="true" t="shared" si="5" ref="J18:J25">I18*1.25</f>
        <v>0.5475</v>
      </c>
      <c r="K18" s="23">
        <f t="shared" si="2"/>
        <v>0.9125</v>
      </c>
      <c r="L18" s="30">
        <f t="shared" si="3"/>
        <v>14153.35</v>
      </c>
    </row>
    <row r="19" spans="1:12" ht="27.75" customHeight="1">
      <c r="A19" s="19" t="s">
        <v>48</v>
      </c>
      <c r="B19" s="17" t="s">
        <v>64</v>
      </c>
      <c r="C19" s="18" t="s">
        <v>59</v>
      </c>
      <c r="D19" s="22" t="s">
        <v>33</v>
      </c>
      <c r="E19" s="23">
        <v>545</v>
      </c>
      <c r="F19" s="23">
        <v>81.16</v>
      </c>
      <c r="G19" s="23">
        <f>F19*0.4</f>
        <v>32.464</v>
      </c>
      <c r="H19" s="23">
        <f t="shared" si="4"/>
        <v>40.58</v>
      </c>
      <c r="I19" s="23">
        <f t="shared" si="1"/>
        <v>48.696</v>
      </c>
      <c r="J19" s="23">
        <f t="shared" si="5"/>
        <v>60.87</v>
      </c>
      <c r="K19" s="23">
        <f t="shared" si="2"/>
        <v>101.44999999999999</v>
      </c>
      <c r="L19" s="30">
        <f t="shared" si="3"/>
        <v>55290.25</v>
      </c>
    </row>
    <row r="20" spans="1:12" ht="15" customHeight="1">
      <c r="A20" s="19" t="s">
        <v>139</v>
      </c>
      <c r="B20" s="17" t="s">
        <v>140</v>
      </c>
      <c r="C20" s="18" t="s">
        <v>141</v>
      </c>
      <c r="D20" s="22" t="s">
        <v>112</v>
      </c>
      <c r="E20" s="23">
        <f>545*25</f>
        <v>13625</v>
      </c>
      <c r="F20" s="23">
        <v>0.62</v>
      </c>
      <c r="G20" s="23">
        <f>F20*0.4</f>
        <v>0.248</v>
      </c>
      <c r="H20" s="23">
        <f t="shared" si="4"/>
        <v>0.31</v>
      </c>
      <c r="I20" s="23">
        <f>F20*0.6</f>
        <v>0.372</v>
      </c>
      <c r="J20" s="23">
        <f t="shared" si="5"/>
        <v>0.46499999999999997</v>
      </c>
      <c r="K20" s="23">
        <f>H20+J20</f>
        <v>0.7749999999999999</v>
      </c>
      <c r="L20" s="30">
        <f>ROUND(K20*E20,2)</f>
        <v>10559.38</v>
      </c>
    </row>
    <row r="21" spans="1:12" ht="27" customHeight="1">
      <c r="A21" s="20" t="s">
        <v>90</v>
      </c>
      <c r="B21" s="17" t="s">
        <v>65</v>
      </c>
      <c r="C21" s="18" t="s">
        <v>89</v>
      </c>
      <c r="D21" s="22" t="s">
        <v>33</v>
      </c>
      <c r="E21" s="23">
        <v>109</v>
      </c>
      <c r="F21" s="23">
        <v>33.57</v>
      </c>
      <c r="G21" s="23">
        <f t="shared" si="0"/>
        <v>13.428</v>
      </c>
      <c r="H21" s="23">
        <f t="shared" si="4"/>
        <v>16.785</v>
      </c>
      <c r="I21" s="23">
        <f t="shared" si="1"/>
        <v>20.142</v>
      </c>
      <c r="J21" s="23">
        <f t="shared" si="5"/>
        <v>25.1775</v>
      </c>
      <c r="K21" s="23">
        <f t="shared" si="2"/>
        <v>41.9625</v>
      </c>
      <c r="L21" s="30">
        <f t="shared" si="3"/>
        <v>4573.91</v>
      </c>
    </row>
    <row r="22" spans="1:12" ht="27" customHeight="1">
      <c r="A22" s="20" t="s">
        <v>86</v>
      </c>
      <c r="B22" s="17" t="s">
        <v>142</v>
      </c>
      <c r="C22" s="18" t="s">
        <v>93</v>
      </c>
      <c r="D22" s="22" t="s">
        <v>101</v>
      </c>
      <c r="E22" s="23">
        <v>4905</v>
      </c>
      <c r="F22" s="23">
        <v>0.73</v>
      </c>
      <c r="G22" s="23">
        <f t="shared" si="0"/>
        <v>0.292</v>
      </c>
      <c r="H22" s="23">
        <f t="shared" si="4"/>
        <v>0.365</v>
      </c>
      <c r="I22" s="23">
        <f t="shared" si="1"/>
        <v>0.438</v>
      </c>
      <c r="J22" s="23">
        <f t="shared" si="5"/>
        <v>0.5475</v>
      </c>
      <c r="K22" s="23">
        <f t="shared" si="2"/>
        <v>0.9125</v>
      </c>
      <c r="L22" s="30">
        <f t="shared" si="3"/>
        <v>4475.81</v>
      </c>
    </row>
    <row r="23" spans="1:12" ht="27.75" customHeight="1">
      <c r="A23" s="66" t="str">
        <f>Composições!A6</f>
        <v>COMP. 001</v>
      </c>
      <c r="B23" s="17" t="s">
        <v>66</v>
      </c>
      <c r="C23" s="18" t="s">
        <v>53</v>
      </c>
      <c r="D23" s="22" t="s">
        <v>19</v>
      </c>
      <c r="E23" s="23">
        <v>2180</v>
      </c>
      <c r="F23" s="23">
        <f>Composições!G6</f>
        <v>47.1892</v>
      </c>
      <c r="G23" s="23">
        <f t="shared" si="0"/>
        <v>18.87568</v>
      </c>
      <c r="H23" s="23">
        <f t="shared" si="4"/>
        <v>23.5946</v>
      </c>
      <c r="I23" s="23">
        <f t="shared" si="1"/>
        <v>28.31352</v>
      </c>
      <c r="J23" s="23">
        <f t="shared" si="5"/>
        <v>35.3919</v>
      </c>
      <c r="K23" s="23">
        <f t="shared" si="2"/>
        <v>58.9865</v>
      </c>
      <c r="L23" s="30">
        <f t="shared" si="3"/>
        <v>128590.57</v>
      </c>
    </row>
    <row r="24" spans="1:12" ht="27.75" customHeight="1">
      <c r="A24" s="20" t="s">
        <v>35</v>
      </c>
      <c r="B24" s="17" t="s">
        <v>136</v>
      </c>
      <c r="C24" s="18" t="s">
        <v>50</v>
      </c>
      <c r="D24" s="22" t="s">
        <v>3</v>
      </c>
      <c r="E24" s="23">
        <v>513</v>
      </c>
      <c r="F24" s="23">
        <v>27.32</v>
      </c>
      <c r="G24" s="23">
        <f t="shared" si="0"/>
        <v>10.928</v>
      </c>
      <c r="H24" s="23">
        <f>G24*1.25</f>
        <v>13.66</v>
      </c>
      <c r="I24" s="23">
        <f t="shared" si="1"/>
        <v>16.392</v>
      </c>
      <c r="J24" s="23">
        <f t="shared" si="5"/>
        <v>20.49</v>
      </c>
      <c r="K24" s="23">
        <f t="shared" si="2"/>
        <v>34.15</v>
      </c>
      <c r="L24" s="30">
        <f t="shared" si="3"/>
        <v>17518.95</v>
      </c>
    </row>
    <row r="25" spans="1:12" ht="15" customHeight="1">
      <c r="A25" s="20" t="s">
        <v>35</v>
      </c>
      <c r="B25" s="17" t="s">
        <v>137</v>
      </c>
      <c r="C25" s="18" t="s">
        <v>51</v>
      </c>
      <c r="D25" s="22" t="s">
        <v>3</v>
      </c>
      <c r="E25" s="23">
        <v>40</v>
      </c>
      <c r="F25" s="23">
        <v>27.32</v>
      </c>
      <c r="G25" s="23">
        <f t="shared" si="0"/>
        <v>10.928</v>
      </c>
      <c r="H25" s="23">
        <f t="shared" si="4"/>
        <v>13.66</v>
      </c>
      <c r="I25" s="23">
        <f t="shared" si="1"/>
        <v>16.392</v>
      </c>
      <c r="J25" s="23">
        <f t="shared" si="5"/>
        <v>20.49</v>
      </c>
      <c r="K25" s="23">
        <f t="shared" si="2"/>
        <v>34.15</v>
      </c>
      <c r="L25" s="30">
        <f t="shared" si="3"/>
        <v>1366</v>
      </c>
    </row>
    <row r="26" spans="1:13" ht="15">
      <c r="A26" s="20"/>
      <c r="B26" s="17"/>
      <c r="C26" s="38"/>
      <c r="D26" s="39"/>
      <c r="E26" s="40"/>
      <c r="F26" s="41"/>
      <c r="G26" s="92"/>
      <c r="H26" s="36"/>
      <c r="I26" s="93"/>
      <c r="J26" s="124" t="s">
        <v>181</v>
      </c>
      <c r="K26" s="125"/>
      <c r="L26" s="42">
        <f>SUM(L17:L25)</f>
        <v>241260.46000000002</v>
      </c>
      <c r="M26" s="1"/>
    </row>
    <row r="27" spans="1:13" ht="15.75">
      <c r="A27" s="24"/>
      <c r="B27" s="25" t="s">
        <v>67</v>
      </c>
      <c r="C27" s="26" t="s">
        <v>40</v>
      </c>
      <c r="D27" s="43"/>
      <c r="E27" s="44"/>
      <c r="F27" s="45"/>
      <c r="G27" s="44"/>
      <c r="H27" s="45"/>
      <c r="I27" s="45"/>
      <c r="J27" s="45"/>
      <c r="K27" s="46"/>
      <c r="L27" s="47"/>
      <c r="M27" s="1"/>
    </row>
    <row r="28" spans="1:13" ht="15">
      <c r="A28" s="19" t="s">
        <v>42</v>
      </c>
      <c r="B28" s="17" t="s">
        <v>68</v>
      </c>
      <c r="C28" s="18" t="s">
        <v>55</v>
      </c>
      <c r="D28" s="22" t="s">
        <v>33</v>
      </c>
      <c r="E28" s="23">
        <v>7.2</v>
      </c>
      <c r="F28" s="23">
        <v>24.14</v>
      </c>
      <c r="G28" s="23">
        <f>F28*0.4</f>
        <v>9.656</v>
      </c>
      <c r="H28" s="23">
        <f>G28*1.25</f>
        <v>12.07</v>
      </c>
      <c r="I28" s="23">
        <f>F28*0.6</f>
        <v>14.484</v>
      </c>
      <c r="J28" s="23">
        <f>I28*1.25</f>
        <v>18.105</v>
      </c>
      <c r="K28" s="23">
        <f>H28+J28</f>
        <v>30.175</v>
      </c>
      <c r="L28" s="30">
        <f aca="true" t="shared" si="6" ref="L28:L34">ROUND(K28*E28,2)</f>
        <v>217.26</v>
      </c>
      <c r="M28" s="1"/>
    </row>
    <row r="29" spans="1:13" s="14" customFormat="1" ht="15">
      <c r="A29" s="19" t="s">
        <v>86</v>
      </c>
      <c r="B29" s="17" t="s">
        <v>69</v>
      </c>
      <c r="C29" s="18" t="s">
        <v>49</v>
      </c>
      <c r="D29" s="22" t="s">
        <v>101</v>
      </c>
      <c r="E29" s="23">
        <v>141.26</v>
      </c>
      <c r="F29" s="23">
        <v>0.73</v>
      </c>
      <c r="G29" s="23">
        <f aca="true" t="shared" si="7" ref="G29:G34">F29*0.4</f>
        <v>0.292</v>
      </c>
      <c r="H29" s="23">
        <f aca="true" t="shared" si="8" ref="H29:H34">G29*1.25</f>
        <v>0.365</v>
      </c>
      <c r="I29" s="23">
        <f aca="true" t="shared" si="9" ref="I29:I34">F29*0.6</f>
        <v>0.438</v>
      </c>
      <c r="J29" s="23">
        <f aca="true" t="shared" si="10" ref="J29:J34">I29*1.25</f>
        <v>0.5475</v>
      </c>
      <c r="K29" s="23">
        <f aca="true" t="shared" si="11" ref="K29:K34">H29+J29</f>
        <v>0.9125</v>
      </c>
      <c r="L29" s="30">
        <f t="shared" si="6"/>
        <v>128.9</v>
      </c>
      <c r="M29" s="21"/>
    </row>
    <row r="30" spans="1:13" ht="15">
      <c r="A30" s="19" t="s">
        <v>41</v>
      </c>
      <c r="B30" s="17" t="s">
        <v>70</v>
      </c>
      <c r="C30" s="18" t="s">
        <v>54</v>
      </c>
      <c r="D30" s="22" t="s">
        <v>33</v>
      </c>
      <c r="E30" s="23">
        <v>3</v>
      </c>
      <c r="F30" s="23">
        <v>81.16</v>
      </c>
      <c r="G30" s="23">
        <f t="shared" si="7"/>
        <v>32.464</v>
      </c>
      <c r="H30" s="23">
        <f t="shared" si="8"/>
        <v>40.58</v>
      </c>
      <c r="I30" s="23">
        <f t="shared" si="9"/>
        <v>48.696</v>
      </c>
      <c r="J30" s="23">
        <f t="shared" si="10"/>
        <v>60.87</v>
      </c>
      <c r="K30" s="23">
        <f t="shared" si="11"/>
        <v>101.44999999999999</v>
      </c>
      <c r="L30" s="30">
        <f t="shared" si="6"/>
        <v>304.35</v>
      </c>
      <c r="M30" s="1"/>
    </row>
    <row r="31" spans="1:13" ht="15" customHeight="1">
      <c r="A31" s="19" t="s">
        <v>139</v>
      </c>
      <c r="B31" s="17" t="s">
        <v>71</v>
      </c>
      <c r="C31" s="18" t="s">
        <v>141</v>
      </c>
      <c r="D31" s="22" t="s">
        <v>112</v>
      </c>
      <c r="E31" s="23">
        <f>3*25</f>
        <v>75</v>
      </c>
      <c r="F31" s="23">
        <v>0.62</v>
      </c>
      <c r="G31" s="23">
        <f t="shared" si="7"/>
        <v>0.248</v>
      </c>
      <c r="H31" s="23">
        <f t="shared" si="8"/>
        <v>0.31</v>
      </c>
      <c r="I31" s="23">
        <f t="shared" si="9"/>
        <v>0.372</v>
      </c>
      <c r="J31" s="23">
        <f t="shared" si="10"/>
        <v>0.46499999999999997</v>
      </c>
      <c r="K31" s="23">
        <f t="shared" si="11"/>
        <v>0.7749999999999999</v>
      </c>
      <c r="L31" s="30">
        <f t="shared" si="6"/>
        <v>58.13</v>
      </c>
      <c r="M31" s="1"/>
    </row>
    <row r="32" spans="1:13" ht="15">
      <c r="A32" s="19" t="s">
        <v>143</v>
      </c>
      <c r="B32" s="17" t="s">
        <v>72</v>
      </c>
      <c r="C32" s="18" t="s">
        <v>144</v>
      </c>
      <c r="D32" s="22" t="s">
        <v>19</v>
      </c>
      <c r="E32" s="23">
        <v>60</v>
      </c>
      <c r="F32" s="23">
        <v>21.93</v>
      </c>
      <c r="G32" s="23">
        <f>F32*0.4</f>
        <v>8.772</v>
      </c>
      <c r="H32" s="23">
        <f t="shared" si="8"/>
        <v>10.965</v>
      </c>
      <c r="I32" s="23">
        <f>F32*0.6</f>
        <v>13.158</v>
      </c>
      <c r="J32" s="23">
        <f t="shared" si="10"/>
        <v>16.447499999999998</v>
      </c>
      <c r="K32" s="23">
        <f>H32+J32</f>
        <v>27.412499999999998</v>
      </c>
      <c r="L32" s="30">
        <f t="shared" si="6"/>
        <v>1644.75</v>
      </c>
      <c r="M32" s="1"/>
    </row>
    <row r="33" spans="1:13" ht="15">
      <c r="A33" s="19" t="s">
        <v>56</v>
      </c>
      <c r="B33" s="17" t="s">
        <v>73</v>
      </c>
      <c r="C33" s="18" t="s">
        <v>57</v>
      </c>
      <c r="D33" s="22" t="s">
        <v>19</v>
      </c>
      <c r="E33" s="23">
        <v>60</v>
      </c>
      <c r="F33" s="23">
        <v>31.95</v>
      </c>
      <c r="G33" s="23">
        <f t="shared" si="7"/>
        <v>12.780000000000001</v>
      </c>
      <c r="H33" s="23">
        <f t="shared" si="8"/>
        <v>15.975000000000001</v>
      </c>
      <c r="I33" s="23">
        <f t="shared" si="9"/>
        <v>19.169999999999998</v>
      </c>
      <c r="J33" s="23">
        <f t="shared" si="10"/>
        <v>23.9625</v>
      </c>
      <c r="K33" s="23">
        <f t="shared" si="11"/>
        <v>39.9375</v>
      </c>
      <c r="L33" s="30">
        <f t="shared" si="6"/>
        <v>2396.25</v>
      </c>
      <c r="M33" s="1"/>
    </row>
    <row r="34" spans="1:13" ht="15">
      <c r="A34" s="19" t="s">
        <v>145</v>
      </c>
      <c r="B34" s="17" t="s">
        <v>74</v>
      </c>
      <c r="C34" s="18" t="s">
        <v>146</v>
      </c>
      <c r="D34" s="22" t="s">
        <v>19</v>
      </c>
      <c r="E34" s="23">
        <v>3.36</v>
      </c>
      <c r="F34" s="23">
        <v>54.79</v>
      </c>
      <c r="G34" s="23">
        <f t="shared" si="7"/>
        <v>21.916</v>
      </c>
      <c r="H34" s="23">
        <f t="shared" si="8"/>
        <v>27.395</v>
      </c>
      <c r="I34" s="23">
        <f t="shared" si="9"/>
        <v>32.873999999999995</v>
      </c>
      <c r="J34" s="23">
        <f t="shared" si="10"/>
        <v>41.092499999999994</v>
      </c>
      <c r="K34" s="23">
        <f t="shared" si="11"/>
        <v>68.4875</v>
      </c>
      <c r="L34" s="30">
        <f t="shared" si="6"/>
        <v>230.12</v>
      </c>
      <c r="M34" s="1"/>
    </row>
    <row r="35" spans="1:12" ht="15">
      <c r="A35" s="19"/>
      <c r="B35" s="48"/>
      <c r="C35" s="49"/>
      <c r="D35" s="50"/>
      <c r="E35" s="51"/>
      <c r="F35" s="52"/>
      <c r="G35" s="41"/>
      <c r="H35" s="36"/>
      <c r="I35" s="94"/>
      <c r="J35" s="126" t="s">
        <v>182</v>
      </c>
      <c r="K35" s="127"/>
      <c r="L35" s="53">
        <f>SUM(L28:L34)</f>
        <v>4979.759999999999</v>
      </c>
    </row>
    <row r="36" spans="1:12" ht="15.75">
      <c r="A36" s="24"/>
      <c r="B36" s="25" t="s">
        <v>75</v>
      </c>
      <c r="C36" s="26" t="s">
        <v>8</v>
      </c>
      <c r="D36" s="43"/>
      <c r="E36" s="44"/>
      <c r="F36" s="45"/>
      <c r="G36" s="44"/>
      <c r="H36" s="45"/>
      <c r="I36" s="45"/>
      <c r="J36" s="45"/>
      <c r="K36" s="46"/>
      <c r="L36" s="47"/>
    </row>
    <row r="37" spans="1:12" ht="15">
      <c r="A37" s="19" t="s">
        <v>138</v>
      </c>
      <c r="B37" s="17" t="s">
        <v>76</v>
      </c>
      <c r="C37" s="18" t="s">
        <v>83</v>
      </c>
      <c r="D37" s="22" t="s">
        <v>19</v>
      </c>
      <c r="E37" s="23">
        <v>1.24</v>
      </c>
      <c r="F37" s="23">
        <v>175.33</v>
      </c>
      <c r="G37" s="23">
        <f>F37*0.4</f>
        <v>70.132</v>
      </c>
      <c r="H37" s="23">
        <f>G37*1.25</f>
        <v>87.665</v>
      </c>
      <c r="I37" s="23">
        <f>F37*0.6</f>
        <v>105.19800000000001</v>
      </c>
      <c r="J37" s="23">
        <f>I37*1.25</f>
        <v>131.4975</v>
      </c>
      <c r="K37" s="23">
        <f>H37+J37</f>
        <v>219.16250000000002</v>
      </c>
      <c r="L37" s="30">
        <f>ROUND(K37*E37,2)</f>
        <v>271.76</v>
      </c>
    </row>
    <row r="38" spans="1:12" ht="15">
      <c r="A38" s="19" t="s">
        <v>138</v>
      </c>
      <c r="B38" s="17" t="s">
        <v>77</v>
      </c>
      <c r="C38" s="18" t="s">
        <v>149</v>
      </c>
      <c r="D38" s="22" t="s">
        <v>19</v>
      </c>
      <c r="E38" s="23">
        <v>1</v>
      </c>
      <c r="F38" s="23">
        <v>175.33</v>
      </c>
      <c r="G38" s="23">
        <f>F38*0.4</f>
        <v>70.132</v>
      </c>
      <c r="H38" s="23">
        <f>G38*1.25</f>
        <v>87.665</v>
      </c>
      <c r="I38" s="23">
        <f>F38*0.6</f>
        <v>105.19800000000001</v>
      </c>
      <c r="J38" s="23">
        <f>I38*1.25</f>
        <v>131.4975</v>
      </c>
      <c r="K38" s="23">
        <f>H38+J38</f>
        <v>219.16250000000002</v>
      </c>
      <c r="L38" s="30">
        <f>ROUND(K38*E38,2)</f>
        <v>219.16</v>
      </c>
    </row>
    <row r="39" spans="1:12" ht="24">
      <c r="A39" s="19" t="s">
        <v>132</v>
      </c>
      <c r="B39" s="17" t="s">
        <v>78</v>
      </c>
      <c r="C39" s="18" t="s">
        <v>84</v>
      </c>
      <c r="D39" s="22" t="s">
        <v>19</v>
      </c>
      <c r="E39" s="23">
        <v>7.75</v>
      </c>
      <c r="F39" s="23">
        <v>16.43</v>
      </c>
      <c r="G39" s="23">
        <f>F39*0.4</f>
        <v>6.572</v>
      </c>
      <c r="H39" s="23">
        <f>G39*1.25</f>
        <v>8.215</v>
      </c>
      <c r="I39" s="23">
        <f>F39*0.6</f>
        <v>9.857999999999999</v>
      </c>
      <c r="J39" s="23">
        <f>I39*1.25</f>
        <v>12.322499999999998</v>
      </c>
      <c r="K39" s="23">
        <f>H39+J39</f>
        <v>20.537499999999998</v>
      </c>
      <c r="L39" s="30">
        <f>ROUND(K39*E39,2)</f>
        <v>159.17</v>
      </c>
    </row>
    <row r="40" spans="1:12" ht="24">
      <c r="A40" s="19" t="s">
        <v>131</v>
      </c>
      <c r="B40" s="17" t="s">
        <v>79</v>
      </c>
      <c r="C40" s="18" t="s">
        <v>85</v>
      </c>
      <c r="D40" s="22" t="s">
        <v>19</v>
      </c>
      <c r="E40" s="23">
        <v>19.2</v>
      </c>
      <c r="F40" s="23">
        <v>23.77</v>
      </c>
      <c r="G40" s="23">
        <f>F40*0.4</f>
        <v>9.508000000000001</v>
      </c>
      <c r="H40" s="23">
        <f>G40*1.25</f>
        <v>11.885000000000002</v>
      </c>
      <c r="I40" s="23">
        <f>F40*0.6</f>
        <v>14.261999999999999</v>
      </c>
      <c r="J40" s="23">
        <f>I40*1.25</f>
        <v>17.827499999999997</v>
      </c>
      <c r="K40" s="23">
        <f>H40+J40</f>
        <v>29.7125</v>
      </c>
      <c r="L40" s="30">
        <f>ROUND(K40*E40,2)</f>
        <v>570.48</v>
      </c>
    </row>
    <row r="41" spans="1:12" ht="15">
      <c r="A41" s="19"/>
      <c r="B41" s="54"/>
      <c r="C41" s="55"/>
      <c r="D41" s="56"/>
      <c r="E41" s="57"/>
      <c r="F41" s="57"/>
      <c r="G41" s="57"/>
      <c r="H41" s="36"/>
      <c r="I41" s="57"/>
      <c r="J41" s="124" t="s">
        <v>183</v>
      </c>
      <c r="K41" s="125"/>
      <c r="L41" s="42">
        <f>SUM(L37:L40)</f>
        <v>1220.57</v>
      </c>
    </row>
    <row r="42" spans="1:12" ht="15.75">
      <c r="A42" s="24"/>
      <c r="B42" s="25" t="s">
        <v>80</v>
      </c>
      <c r="C42" s="26" t="s">
        <v>119</v>
      </c>
      <c r="D42" s="43"/>
      <c r="E42" s="45"/>
      <c r="F42" s="45"/>
      <c r="G42" s="45"/>
      <c r="H42" s="45"/>
      <c r="I42" s="45"/>
      <c r="J42" s="45"/>
      <c r="K42" s="46"/>
      <c r="L42" s="47"/>
    </row>
    <row r="43" spans="1:12" ht="24">
      <c r="A43" s="19" t="s">
        <v>102</v>
      </c>
      <c r="B43" s="17" t="s">
        <v>94</v>
      </c>
      <c r="C43" s="18" t="s">
        <v>150</v>
      </c>
      <c r="D43" s="22" t="s">
        <v>100</v>
      </c>
      <c r="E43" s="23">
        <v>6</v>
      </c>
      <c r="F43" s="23">
        <v>553.37</v>
      </c>
      <c r="G43" s="23">
        <f aca="true" t="shared" si="12" ref="G43:G48">F43*0.4</f>
        <v>221.348</v>
      </c>
      <c r="H43" s="23">
        <f aca="true" t="shared" si="13" ref="H43:H48">G43*1.25</f>
        <v>276.685</v>
      </c>
      <c r="I43" s="23">
        <f aca="true" t="shared" si="14" ref="I43:I48">F43*0.6</f>
        <v>332.022</v>
      </c>
      <c r="J43" s="23">
        <f aca="true" t="shared" si="15" ref="J43:J48">I43*1.25</f>
        <v>415.0275</v>
      </c>
      <c r="K43" s="23">
        <f aca="true" t="shared" si="16" ref="K43:K48">H43+J43</f>
        <v>691.7125</v>
      </c>
      <c r="L43" s="30">
        <f aca="true" t="shared" si="17" ref="L43:L48">ROUND(K43*E43,2)</f>
        <v>4150.28</v>
      </c>
    </row>
    <row r="44" spans="1:12" ht="24">
      <c r="A44" s="19" t="s">
        <v>103</v>
      </c>
      <c r="B44" s="17" t="s">
        <v>95</v>
      </c>
      <c r="C44" s="18" t="s">
        <v>91</v>
      </c>
      <c r="D44" s="22" t="s">
        <v>33</v>
      </c>
      <c r="E44" s="23">
        <v>976.5</v>
      </c>
      <c r="F44" s="23">
        <v>6.57</v>
      </c>
      <c r="G44" s="23">
        <f t="shared" si="12"/>
        <v>2.628</v>
      </c>
      <c r="H44" s="23">
        <f t="shared" si="13"/>
        <v>3.285</v>
      </c>
      <c r="I44" s="23">
        <f t="shared" si="14"/>
        <v>3.942</v>
      </c>
      <c r="J44" s="23">
        <f t="shared" si="15"/>
        <v>4.9275</v>
      </c>
      <c r="K44" s="23">
        <f t="shared" si="16"/>
        <v>8.2125</v>
      </c>
      <c r="L44" s="30">
        <f t="shared" si="17"/>
        <v>8019.51</v>
      </c>
    </row>
    <row r="45" spans="1:12" s="14" customFormat="1" ht="15">
      <c r="A45" s="19" t="s">
        <v>190</v>
      </c>
      <c r="B45" s="17" t="s">
        <v>96</v>
      </c>
      <c r="C45" s="18" t="s">
        <v>191</v>
      </c>
      <c r="D45" s="22" t="s">
        <v>3</v>
      </c>
      <c r="E45" s="23">
        <v>405.7</v>
      </c>
      <c r="F45" s="23">
        <v>67.06</v>
      </c>
      <c r="G45" s="23">
        <f t="shared" si="12"/>
        <v>26.824</v>
      </c>
      <c r="H45" s="23">
        <f t="shared" si="13"/>
        <v>33.53</v>
      </c>
      <c r="I45" s="23">
        <f t="shared" si="14"/>
        <v>40.236</v>
      </c>
      <c r="J45" s="23">
        <f t="shared" si="15"/>
        <v>50.294999999999995</v>
      </c>
      <c r="K45" s="23">
        <f t="shared" si="16"/>
        <v>83.82499999999999</v>
      </c>
      <c r="L45" s="30">
        <f t="shared" si="17"/>
        <v>34007.8</v>
      </c>
    </row>
    <row r="46" spans="1:12" s="14" customFormat="1" ht="24">
      <c r="A46" s="19" t="s">
        <v>193</v>
      </c>
      <c r="B46" s="17" t="s">
        <v>97</v>
      </c>
      <c r="C46" s="18" t="s">
        <v>192</v>
      </c>
      <c r="D46" s="22" t="s">
        <v>3</v>
      </c>
      <c r="E46" s="23">
        <v>405.7</v>
      </c>
      <c r="F46" s="23">
        <v>18.43</v>
      </c>
      <c r="G46" s="23">
        <f t="shared" si="12"/>
        <v>7.372</v>
      </c>
      <c r="H46" s="23">
        <f t="shared" si="13"/>
        <v>9.215</v>
      </c>
      <c r="I46" s="23">
        <f t="shared" si="14"/>
        <v>11.058</v>
      </c>
      <c r="J46" s="23">
        <f t="shared" si="15"/>
        <v>13.8225</v>
      </c>
      <c r="K46" s="23">
        <f t="shared" si="16"/>
        <v>23.0375</v>
      </c>
      <c r="L46" s="30">
        <f t="shared" si="17"/>
        <v>9346.31</v>
      </c>
    </row>
    <row r="47" spans="1:12" s="14" customFormat="1" ht="24">
      <c r="A47" s="19" t="s">
        <v>104</v>
      </c>
      <c r="B47" s="17" t="s">
        <v>98</v>
      </c>
      <c r="C47" s="18" t="s">
        <v>92</v>
      </c>
      <c r="D47" s="22" t="s">
        <v>33</v>
      </c>
      <c r="E47" s="23">
        <v>787.06</v>
      </c>
      <c r="F47" s="23">
        <v>37.46</v>
      </c>
      <c r="G47" s="23">
        <f t="shared" si="12"/>
        <v>14.984000000000002</v>
      </c>
      <c r="H47" s="23">
        <f t="shared" si="13"/>
        <v>18.730000000000004</v>
      </c>
      <c r="I47" s="23">
        <f t="shared" si="14"/>
        <v>22.476</v>
      </c>
      <c r="J47" s="23">
        <f t="shared" si="15"/>
        <v>28.095</v>
      </c>
      <c r="K47" s="23">
        <f t="shared" si="16"/>
        <v>46.825</v>
      </c>
      <c r="L47" s="30">
        <f t="shared" si="17"/>
        <v>36854.08</v>
      </c>
    </row>
    <row r="48" spans="1:12" s="14" customFormat="1" ht="24">
      <c r="A48" s="19" t="s">
        <v>105</v>
      </c>
      <c r="B48" s="17" t="s">
        <v>99</v>
      </c>
      <c r="C48" s="18" t="s">
        <v>93</v>
      </c>
      <c r="D48" s="22" t="s">
        <v>101</v>
      </c>
      <c r="E48" s="23">
        <v>28530.93</v>
      </c>
      <c r="F48" s="23">
        <v>0.73</v>
      </c>
      <c r="G48" s="23">
        <f t="shared" si="12"/>
        <v>0.292</v>
      </c>
      <c r="H48" s="23">
        <f t="shared" si="13"/>
        <v>0.365</v>
      </c>
      <c r="I48" s="23">
        <f t="shared" si="14"/>
        <v>0.438</v>
      </c>
      <c r="J48" s="23">
        <f t="shared" si="15"/>
        <v>0.5475</v>
      </c>
      <c r="K48" s="23">
        <f t="shared" si="16"/>
        <v>0.9125</v>
      </c>
      <c r="L48" s="30">
        <f t="shared" si="17"/>
        <v>26034.47</v>
      </c>
    </row>
    <row r="49" spans="1:12" ht="15">
      <c r="A49" s="19"/>
      <c r="B49" s="54"/>
      <c r="C49" s="55"/>
      <c r="D49" s="56"/>
      <c r="E49" s="57"/>
      <c r="F49" s="57"/>
      <c r="G49" s="57"/>
      <c r="H49" s="36"/>
      <c r="I49" s="57"/>
      <c r="J49" s="126" t="s">
        <v>184</v>
      </c>
      <c r="K49" s="127"/>
      <c r="L49" s="58">
        <f>SUM(L43:L48)</f>
        <v>118412.45000000001</v>
      </c>
    </row>
    <row r="50" spans="1:12" ht="15.75">
      <c r="A50" s="24"/>
      <c r="B50" s="25" t="s">
        <v>81</v>
      </c>
      <c r="C50" s="26" t="s">
        <v>106</v>
      </c>
      <c r="D50" s="43"/>
      <c r="E50" s="44"/>
      <c r="F50" s="45"/>
      <c r="G50" s="44"/>
      <c r="H50" s="45"/>
      <c r="I50" s="45"/>
      <c r="J50" s="45"/>
      <c r="K50" s="46"/>
      <c r="L50" s="47"/>
    </row>
    <row r="51" spans="1:12" s="14" customFormat="1" ht="24">
      <c r="A51" s="19" t="s">
        <v>134</v>
      </c>
      <c r="B51" s="17" t="s">
        <v>82</v>
      </c>
      <c r="C51" s="18" t="s">
        <v>133</v>
      </c>
      <c r="D51" s="22" t="s">
        <v>33</v>
      </c>
      <c r="E51" s="23">
        <v>171.68</v>
      </c>
      <c r="F51" s="23">
        <v>24.14</v>
      </c>
      <c r="G51" s="23">
        <f>F51*0.4</f>
        <v>9.656</v>
      </c>
      <c r="H51" s="23">
        <f>G51*1.25</f>
        <v>12.07</v>
      </c>
      <c r="I51" s="23">
        <f>F51*0.6</f>
        <v>14.484</v>
      </c>
      <c r="J51" s="23">
        <f>I51*1.25</f>
        <v>18.105</v>
      </c>
      <c r="K51" s="23">
        <f>H51+J51</f>
        <v>30.175</v>
      </c>
      <c r="L51" s="30">
        <f aca="true" t="shared" si="18" ref="L51:L58">ROUND(K51*E51,2)</f>
        <v>5180.44</v>
      </c>
    </row>
    <row r="52" spans="1:12" s="14" customFormat="1" ht="24">
      <c r="A52" s="19" t="s">
        <v>135</v>
      </c>
      <c r="B52" s="17" t="s">
        <v>122</v>
      </c>
      <c r="C52" s="18" t="s">
        <v>111</v>
      </c>
      <c r="D52" s="22" t="s">
        <v>112</v>
      </c>
      <c r="E52" s="23">
        <f>E51*10*1.35</f>
        <v>2317.6800000000003</v>
      </c>
      <c r="F52" s="23">
        <v>0.71</v>
      </c>
      <c r="G52" s="23">
        <f>F52*0.4</f>
        <v>0.284</v>
      </c>
      <c r="H52" s="23">
        <f aca="true" t="shared" si="19" ref="H52:H59">G52*1.25</f>
        <v>0.355</v>
      </c>
      <c r="I52" s="23">
        <f>F52*0.6</f>
        <v>0.426</v>
      </c>
      <c r="J52" s="23">
        <f aca="true" t="shared" si="20" ref="J52:J59">I52*1.25</f>
        <v>0.5325</v>
      </c>
      <c r="K52" s="23">
        <f>H52+J52</f>
        <v>0.8875</v>
      </c>
      <c r="L52" s="30">
        <f>ROUND(K52*E52,2)</f>
        <v>2056.94</v>
      </c>
    </row>
    <row r="53" spans="1:12" s="14" customFormat="1" ht="15">
      <c r="A53" s="19" t="s">
        <v>113</v>
      </c>
      <c r="B53" s="17" t="s">
        <v>123</v>
      </c>
      <c r="C53" s="18" t="s">
        <v>107</v>
      </c>
      <c r="D53" s="22" t="s">
        <v>33</v>
      </c>
      <c r="E53" s="23">
        <v>57.32</v>
      </c>
      <c r="F53" s="23">
        <v>61.69</v>
      </c>
      <c r="G53" s="23">
        <f aca="true" t="shared" si="21" ref="G53:G59">F53*0.4</f>
        <v>24.676000000000002</v>
      </c>
      <c r="H53" s="23">
        <f t="shared" si="19"/>
        <v>30.845000000000002</v>
      </c>
      <c r="I53" s="23">
        <f aca="true" t="shared" si="22" ref="I53:I59">F53*0.6</f>
        <v>37.013999999999996</v>
      </c>
      <c r="J53" s="23">
        <f t="shared" si="20"/>
        <v>46.2675</v>
      </c>
      <c r="K53" s="23">
        <f aca="true" t="shared" si="23" ref="K53:K59">H53+J53</f>
        <v>77.1125</v>
      </c>
      <c r="L53" s="30">
        <f t="shared" si="18"/>
        <v>4420.09</v>
      </c>
    </row>
    <row r="54" spans="1:13" ht="15" customHeight="1">
      <c r="A54" s="19" t="s">
        <v>139</v>
      </c>
      <c r="B54" s="17" t="s">
        <v>124</v>
      </c>
      <c r="C54" s="18" t="s">
        <v>141</v>
      </c>
      <c r="D54" s="22" t="s">
        <v>112</v>
      </c>
      <c r="E54" s="23">
        <f>3*25</f>
        <v>75</v>
      </c>
      <c r="F54" s="23">
        <v>0.62</v>
      </c>
      <c r="G54" s="23">
        <f t="shared" si="21"/>
        <v>0.248</v>
      </c>
      <c r="H54" s="23">
        <f t="shared" si="19"/>
        <v>0.31</v>
      </c>
      <c r="I54" s="23">
        <f t="shared" si="22"/>
        <v>0.372</v>
      </c>
      <c r="J54" s="23">
        <f t="shared" si="20"/>
        <v>0.46499999999999997</v>
      </c>
      <c r="K54" s="23">
        <f t="shared" si="23"/>
        <v>0.7749999999999999</v>
      </c>
      <c r="L54" s="30">
        <f t="shared" si="18"/>
        <v>58.13</v>
      </c>
      <c r="M54" s="1"/>
    </row>
    <row r="55" spans="1:12" s="14" customFormat="1" ht="15">
      <c r="A55" s="19" t="s">
        <v>114</v>
      </c>
      <c r="B55" s="17" t="s">
        <v>125</v>
      </c>
      <c r="C55" s="18" t="s">
        <v>108</v>
      </c>
      <c r="D55" s="22" t="s">
        <v>19</v>
      </c>
      <c r="E55" s="23">
        <v>817.5</v>
      </c>
      <c r="F55" s="23">
        <v>26.63</v>
      </c>
      <c r="G55" s="23">
        <f t="shared" si="21"/>
        <v>10.652000000000001</v>
      </c>
      <c r="H55" s="23">
        <f t="shared" si="19"/>
        <v>13.315000000000001</v>
      </c>
      <c r="I55" s="23">
        <f t="shared" si="22"/>
        <v>15.977999999999998</v>
      </c>
      <c r="J55" s="23">
        <f t="shared" si="20"/>
        <v>19.972499999999997</v>
      </c>
      <c r="K55" s="23">
        <f t="shared" si="23"/>
        <v>33.287499999999994</v>
      </c>
      <c r="L55" s="30">
        <f t="shared" si="18"/>
        <v>27212.53</v>
      </c>
    </row>
    <row r="56" spans="1:12" s="14" customFormat="1" ht="15">
      <c r="A56" s="19" t="s">
        <v>115</v>
      </c>
      <c r="B56" s="17" t="s">
        <v>126</v>
      </c>
      <c r="C56" s="18" t="s">
        <v>109</v>
      </c>
      <c r="D56" s="22" t="s">
        <v>100</v>
      </c>
      <c r="E56" s="23">
        <v>32</v>
      </c>
      <c r="F56" s="23">
        <v>71.68</v>
      </c>
      <c r="G56" s="23">
        <f t="shared" si="21"/>
        <v>28.672000000000004</v>
      </c>
      <c r="H56" s="23">
        <f t="shared" si="19"/>
        <v>35.84</v>
      </c>
      <c r="I56" s="23">
        <f t="shared" si="22"/>
        <v>43.008</v>
      </c>
      <c r="J56" s="23">
        <f t="shared" si="20"/>
        <v>53.760000000000005</v>
      </c>
      <c r="K56" s="23">
        <f t="shared" si="23"/>
        <v>89.60000000000001</v>
      </c>
      <c r="L56" s="30">
        <f t="shared" si="18"/>
        <v>2867.2</v>
      </c>
    </row>
    <row r="57" spans="1:12" s="14" customFormat="1" ht="15">
      <c r="A57" s="19" t="s">
        <v>116</v>
      </c>
      <c r="B57" s="17" t="s">
        <v>127</v>
      </c>
      <c r="C57" s="18" t="s">
        <v>110</v>
      </c>
      <c r="D57" s="22" t="s">
        <v>19</v>
      </c>
      <c r="E57" s="23">
        <v>327</v>
      </c>
      <c r="F57" s="23">
        <v>14.6</v>
      </c>
      <c r="G57" s="23">
        <f t="shared" si="21"/>
        <v>5.84</v>
      </c>
      <c r="H57" s="23">
        <f t="shared" si="19"/>
        <v>7.3</v>
      </c>
      <c r="I57" s="23">
        <f t="shared" si="22"/>
        <v>8.76</v>
      </c>
      <c r="J57" s="23">
        <f t="shared" si="20"/>
        <v>10.95</v>
      </c>
      <c r="K57" s="23">
        <f t="shared" si="23"/>
        <v>18.25</v>
      </c>
      <c r="L57" s="30">
        <f t="shared" si="18"/>
        <v>5967.75</v>
      </c>
    </row>
    <row r="58" spans="1:12" s="14" customFormat="1" ht="15">
      <c r="A58" s="19" t="s">
        <v>117</v>
      </c>
      <c r="B58" s="17" t="s">
        <v>128</v>
      </c>
      <c r="C58" s="18" t="s">
        <v>118</v>
      </c>
      <c r="D58" s="22" t="s">
        <v>33</v>
      </c>
      <c r="E58" s="23">
        <f>E57*0.1</f>
        <v>32.7</v>
      </c>
      <c r="F58" s="23">
        <v>6.03</v>
      </c>
      <c r="G58" s="23">
        <f t="shared" si="21"/>
        <v>2.4120000000000004</v>
      </c>
      <c r="H58" s="23">
        <f t="shared" si="19"/>
        <v>3.0150000000000006</v>
      </c>
      <c r="I58" s="23">
        <f t="shared" si="22"/>
        <v>3.618</v>
      </c>
      <c r="J58" s="23">
        <f t="shared" si="20"/>
        <v>4.5225</v>
      </c>
      <c r="K58" s="23">
        <f t="shared" si="23"/>
        <v>7.5375000000000005</v>
      </c>
      <c r="L58" s="30">
        <f t="shared" si="18"/>
        <v>246.48</v>
      </c>
    </row>
    <row r="59" spans="1:12" s="14" customFormat="1" ht="24" customHeight="1">
      <c r="A59" s="19" t="s">
        <v>135</v>
      </c>
      <c r="B59" s="17" t="s">
        <v>151</v>
      </c>
      <c r="C59" s="18" t="s">
        <v>111</v>
      </c>
      <c r="D59" s="22" t="s">
        <v>112</v>
      </c>
      <c r="E59" s="23">
        <f>E58*25*1.35</f>
        <v>1103.6250000000002</v>
      </c>
      <c r="F59" s="23">
        <v>0.71</v>
      </c>
      <c r="G59" s="23">
        <f t="shared" si="21"/>
        <v>0.284</v>
      </c>
      <c r="H59" s="23">
        <f t="shared" si="19"/>
        <v>0.355</v>
      </c>
      <c r="I59" s="23">
        <f t="shared" si="22"/>
        <v>0.426</v>
      </c>
      <c r="J59" s="23">
        <f t="shared" si="20"/>
        <v>0.5325</v>
      </c>
      <c r="K59" s="23">
        <f t="shared" si="23"/>
        <v>0.8875</v>
      </c>
      <c r="L59" s="30">
        <f>ROUND(K59*E59,2)</f>
        <v>979.47</v>
      </c>
    </row>
    <row r="60" spans="1:12" s="14" customFormat="1" ht="15">
      <c r="A60" s="19"/>
      <c r="B60" s="17"/>
      <c r="C60" s="59"/>
      <c r="D60" s="39"/>
      <c r="E60" s="57"/>
      <c r="F60" s="57"/>
      <c r="G60" s="57"/>
      <c r="H60" s="36"/>
      <c r="I60" s="57"/>
      <c r="J60" s="124" t="s">
        <v>185</v>
      </c>
      <c r="K60" s="125"/>
      <c r="L60" s="42">
        <f>SUM(L51:L59)</f>
        <v>48989.03</v>
      </c>
    </row>
    <row r="61" spans="1:12" ht="15.75">
      <c r="A61" s="24"/>
      <c r="B61" s="25" t="s">
        <v>120</v>
      </c>
      <c r="C61" s="26" t="s">
        <v>52</v>
      </c>
      <c r="D61" s="43"/>
      <c r="E61" s="45"/>
      <c r="F61" s="45"/>
      <c r="G61" s="45"/>
      <c r="H61" s="45"/>
      <c r="I61" s="45"/>
      <c r="J61" s="45"/>
      <c r="K61" s="46"/>
      <c r="L61" s="47"/>
    </row>
    <row r="62" spans="1:13" ht="15">
      <c r="A62" s="19" t="s">
        <v>46</v>
      </c>
      <c r="B62" s="60" t="s">
        <v>121</v>
      </c>
      <c r="C62" s="18" t="s">
        <v>60</v>
      </c>
      <c r="D62" s="22" t="s">
        <v>19</v>
      </c>
      <c r="E62" s="23">
        <v>2180</v>
      </c>
      <c r="F62" s="23">
        <v>1.55</v>
      </c>
      <c r="G62" s="23">
        <f>F62*0.4</f>
        <v>0.6200000000000001</v>
      </c>
      <c r="H62" s="23">
        <f>G62*1.25</f>
        <v>0.7750000000000001</v>
      </c>
      <c r="I62" s="23">
        <f>F62*0.6</f>
        <v>0.9299999999999999</v>
      </c>
      <c r="J62" s="23">
        <f>I62*1.25</f>
        <v>1.1624999999999999</v>
      </c>
      <c r="K62" s="23">
        <f>H62+J62</f>
        <v>1.9375</v>
      </c>
      <c r="L62" s="30">
        <f>ROUND(K62*E62,2)</f>
        <v>4223.75</v>
      </c>
      <c r="M62" s="16"/>
    </row>
    <row r="63" spans="1:12" ht="15">
      <c r="A63" s="19"/>
      <c r="B63" s="54"/>
      <c r="C63" s="55"/>
      <c r="D63" s="55"/>
      <c r="E63" s="57"/>
      <c r="F63" s="57"/>
      <c r="G63" s="57"/>
      <c r="H63" s="36"/>
      <c r="I63" s="95"/>
      <c r="J63" s="142" t="s">
        <v>186</v>
      </c>
      <c r="K63" s="143"/>
      <c r="L63" s="61">
        <f>SUM(L62)</f>
        <v>4223.75</v>
      </c>
    </row>
    <row r="64" spans="1:12" ht="15.75" thickBot="1">
      <c r="A64" s="96"/>
      <c r="B64" s="97"/>
      <c r="C64" s="98" t="s">
        <v>20</v>
      </c>
      <c r="D64" s="99"/>
      <c r="E64" s="100"/>
      <c r="F64" s="100"/>
      <c r="G64" s="100"/>
      <c r="H64" s="101"/>
      <c r="I64" s="101"/>
      <c r="J64" s="101"/>
      <c r="K64" s="101"/>
      <c r="L64" s="102">
        <f>L15+L26+L35+L41+L49+L63+L60</f>
        <v>421550.1100000001</v>
      </c>
    </row>
    <row r="65" spans="4:12" ht="15">
      <c r="D65" s="2"/>
      <c r="E65" s="2"/>
      <c r="F65" s="2"/>
      <c r="G65" s="2"/>
      <c r="H65" s="3"/>
      <c r="I65" s="3"/>
      <c r="J65" s="3"/>
      <c r="K65" s="2"/>
      <c r="L65" s="2"/>
    </row>
    <row r="66" spans="1:12" ht="15">
      <c r="A66" t="s">
        <v>21</v>
      </c>
      <c r="D66" s="2"/>
      <c r="E66" s="2"/>
      <c r="F66" s="2"/>
      <c r="G66" s="2"/>
      <c r="H66" s="3"/>
      <c r="I66" s="3"/>
      <c r="J66" s="3"/>
      <c r="K66" s="2"/>
      <c r="L66" s="2"/>
    </row>
    <row r="67" spans="4:12" ht="15">
      <c r="D67" s="2"/>
      <c r="E67" s="2"/>
      <c r="F67" s="2"/>
      <c r="G67" s="2"/>
      <c r="H67" s="3"/>
      <c r="I67" s="3"/>
      <c r="J67" s="3"/>
      <c r="K67" s="2"/>
      <c r="L67" s="2"/>
    </row>
    <row r="68" spans="4:12" ht="15">
      <c r="D68" s="2"/>
      <c r="E68" s="2"/>
      <c r="F68" s="2"/>
      <c r="G68" s="2"/>
      <c r="H68" s="3"/>
      <c r="I68" s="3"/>
      <c r="J68" s="3"/>
      <c r="K68" s="2"/>
      <c r="L68" s="2"/>
    </row>
    <row r="69" spans="4:12" ht="15">
      <c r="D69" s="2"/>
      <c r="E69" s="2"/>
      <c r="F69" s="2"/>
      <c r="G69" s="2"/>
      <c r="H69" s="3"/>
      <c r="I69" s="3"/>
      <c r="J69" s="3"/>
      <c r="K69" s="2"/>
      <c r="L69" s="2"/>
    </row>
    <row r="70" spans="4:12" ht="15">
      <c r="D70" s="2"/>
      <c r="E70" s="2"/>
      <c r="F70" s="2"/>
      <c r="G70" s="2"/>
      <c r="H70" s="3"/>
      <c r="I70" s="3"/>
      <c r="J70" s="3"/>
      <c r="K70" s="2"/>
      <c r="L70" s="2"/>
    </row>
    <row r="71" spans="4:12" ht="15">
      <c r="D71" s="2"/>
      <c r="E71" s="2"/>
      <c r="F71" s="2"/>
      <c r="G71" s="2"/>
      <c r="H71" s="3"/>
      <c r="I71" s="3"/>
      <c r="J71" s="3"/>
      <c r="K71" s="2"/>
      <c r="L71" s="2"/>
    </row>
    <row r="72" spans="4:12" ht="15">
      <c r="D72" s="2"/>
      <c r="E72" s="2"/>
      <c r="F72" s="2"/>
      <c r="G72" s="2"/>
      <c r="H72" s="3"/>
      <c r="I72" s="3"/>
      <c r="J72" s="3"/>
      <c r="K72" s="2"/>
      <c r="L72" s="2"/>
    </row>
    <row r="73" spans="1:12" ht="15">
      <c r="A73" s="136" t="s">
        <v>187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</row>
    <row r="74" spans="1:12" ht="15">
      <c r="A74" s="136" t="s">
        <v>188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</row>
    <row r="75" spans="1:12" ht="15">
      <c r="A75" s="137" t="s">
        <v>189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</row>
    <row r="76" spans="2:12" ht="15">
      <c r="B76" t="s">
        <v>22</v>
      </c>
      <c r="L76" s="1"/>
    </row>
  </sheetData>
  <sheetProtection/>
  <mergeCells count="24">
    <mergeCell ref="A73:L73"/>
    <mergeCell ref="A74:L74"/>
    <mergeCell ref="A75:L75"/>
    <mergeCell ref="A10:A11"/>
    <mergeCell ref="B10:B11"/>
    <mergeCell ref="E10:E11"/>
    <mergeCell ref="G10:K10"/>
    <mergeCell ref="J63:K63"/>
    <mergeCell ref="J41:K41"/>
    <mergeCell ref="J15:K15"/>
    <mergeCell ref="A1:L3"/>
    <mergeCell ref="B4:L4"/>
    <mergeCell ref="A5:L5"/>
    <mergeCell ref="B6:L6"/>
    <mergeCell ref="A7:L7"/>
    <mergeCell ref="A8:L8"/>
    <mergeCell ref="J26:K26"/>
    <mergeCell ref="J35:K35"/>
    <mergeCell ref="J60:K60"/>
    <mergeCell ref="J49:K49"/>
    <mergeCell ref="B9:L9"/>
    <mergeCell ref="L10:L11"/>
    <mergeCell ref="C10:C11"/>
    <mergeCell ref="D10:D11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90" zoomScaleNormal="90" zoomScalePageLayoutView="0" workbookViewId="0" topLeftCell="A1">
      <selection activeCell="A1" sqref="A1:J29"/>
    </sheetView>
  </sheetViews>
  <sheetFormatPr defaultColWidth="14.7109375" defaultRowHeight="15"/>
  <cols>
    <col min="1" max="1" width="5.7109375" style="13" customWidth="1"/>
    <col min="2" max="2" width="58.00390625" style="6" bestFit="1" customWidth="1"/>
    <col min="3" max="3" width="11.00390625" style="6" bestFit="1" customWidth="1"/>
    <col min="4" max="4" width="12.421875" style="6" customWidth="1"/>
    <col min="5" max="5" width="7.7109375" style="6" customWidth="1"/>
    <col min="6" max="6" width="14.7109375" style="6" customWidth="1"/>
    <col min="7" max="7" width="9.140625" style="6" customWidth="1"/>
    <col min="8" max="8" width="10.28125" style="6" bestFit="1" customWidth="1"/>
    <col min="9" max="238" width="9.140625" style="6" customWidth="1"/>
    <col min="239" max="239" width="5.7109375" style="6" customWidth="1"/>
    <col min="240" max="240" width="30.7109375" style="6" customWidth="1"/>
    <col min="241" max="241" width="6.7109375" style="6" customWidth="1"/>
    <col min="242" max="242" width="12.421875" style="6" customWidth="1"/>
    <col min="243" max="243" width="7.7109375" style="6" customWidth="1"/>
    <col min="244" max="244" width="14.7109375" style="6" customWidth="1"/>
    <col min="245" max="245" width="7.7109375" style="6" customWidth="1"/>
    <col min="246" max="246" width="14.7109375" style="6" customWidth="1"/>
    <col min="247" max="247" width="7.7109375" style="6" customWidth="1"/>
    <col min="248" max="248" width="14.7109375" style="6" customWidth="1"/>
    <col min="249" max="249" width="7.7109375" style="6" customWidth="1"/>
    <col min="250" max="250" width="14.7109375" style="6" customWidth="1"/>
    <col min="251" max="251" width="7.7109375" style="6" customWidth="1"/>
    <col min="252" max="252" width="14.7109375" style="6" customWidth="1"/>
    <col min="253" max="253" width="7.7109375" style="6" customWidth="1"/>
    <col min="254" max="16384" width="14.7109375" style="6" customWidth="1"/>
  </cols>
  <sheetData>
    <row r="1" spans="1:10" ht="12.75">
      <c r="A1" s="154"/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2.75">
      <c r="A2" s="154"/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2.75">
      <c r="A3" s="154"/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2.75">
      <c r="A4" s="154"/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2.75">
      <c r="A5" s="144" t="s">
        <v>4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7" ht="12.75">
      <c r="A6" s="144"/>
      <c r="B6" s="144"/>
      <c r="C6" s="144"/>
      <c r="D6" s="144"/>
      <c r="E6" s="144"/>
      <c r="F6" s="144"/>
      <c r="G6" s="5"/>
    </row>
    <row r="7" spans="1:10" ht="12.75">
      <c r="A7" s="144" t="s">
        <v>5</v>
      </c>
      <c r="B7" s="144"/>
      <c r="C7" s="144"/>
      <c r="D7" s="144"/>
      <c r="E7" s="144"/>
      <c r="F7" s="144"/>
      <c r="G7" s="144"/>
      <c r="H7" s="144"/>
      <c r="I7" s="144"/>
      <c r="J7" s="144"/>
    </row>
    <row r="8" spans="1:10" ht="12.75" customHeight="1">
      <c r="A8" s="144" t="s">
        <v>39</v>
      </c>
      <c r="B8" s="144"/>
      <c r="C8" s="144"/>
      <c r="D8" s="144"/>
      <c r="E8" s="144"/>
      <c r="F8" s="144"/>
      <c r="G8" s="144"/>
      <c r="H8" s="144"/>
      <c r="I8" s="144"/>
      <c r="J8" s="144"/>
    </row>
    <row r="9" spans="1:8" ht="12.75" customHeight="1" thickBot="1">
      <c r="A9" s="154"/>
      <c r="B9" s="154"/>
      <c r="C9" s="154"/>
      <c r="D9" s="154"/>
      <c r="E9" s="154"/>
      <c r="F9" s="154"/>
      <c r="H9" s="8"/>
    </row>
    <row r="10" spans="1:10" ht="12.75">
      <c r="A10" s="146" t="s">
        <v>23</v>
      </c>
      <c r="B10" s="156" t="s">
        <v>6</v>
      </c>
      <c r="C10" s="156" t="s">
        <v>24</v>
      </c>
      <c r="D10" s="156" t="s">
        <v>25</v>
      </c>
      <c r="E10" s="155" t="s">
        <v>26</v>
      </c>
      <c r="F10" s="155"/>
      <c r="G10" s="155" t="s">
        <v>26</v>
      </c>
      <c r="H10" s="155"/>
      <c r="I10" s="155" t="s">
        <v>26</v>
      </c>
      <c r="J10" s="160"/>
    </row>
    <row r="11" spans="1:10" ht="12.75">
      <c r="A11" s="147"/>
      <c r="B11" s="157"/>
      <c r="C11" s="157"/>
      <c r="D11" s="157"/>
      <c r="E11" s="159" t="s">
        <v>27</v>
      </c>
      <c r="F11" s="159"/>
      <c r="G11" s="159" t="s">
        <v>129</v>
      </c>
      <c r="H11" s="159"/>
      <c r="I11" s="159" t="s">
        <v>130</v>
      </c>
      <c r="J11" s="161"/>
    </row>
    <row r="12" spans="1:10" ht="12.75">
      <c r="A12" s="147"/>
      <c r="B12" s="157"/>
      <c r="C12" s="157"/>
      <c r="D12" s="157"/>
      <c r="E12" s="70" t="s">
        <v>7</v>
      </c>
      <c r="F12" s="70" t="s">
        <v>28</v>
      </c>
      <c r="G12" s="70" t="s">
        <v>7</v>
      </c>
      <c r="H12" s="70" t="s">
        <v>28</v>
      </c>
      <c r="I12" s="70" t="s">
        <v>7</v>
      </c>
      <c r="J12" s="71" t="s">
        <v>28</v>
      </c>
    </row>
    <row r="13" spans="1:10" ht="20.25" customHeight="1">
      <c r="A13" s="67" t="str">
        <f>'Orçamento '!B12</f>
        <v>6.1</v>
      </c>
      <c r="B13" s="72" t="str">
        <f>'Orçamento '!C12</f>
        <v>Serviços preliminares</v>
      </c>
      <c r="C13" s="85">
        <f>D13/D21</f>
        <v>0.005845307453483999</v>
      </c>
      <c r="D13" s="73">
        <f>'Orçamento '!L15</f>
        <v>2464.09</v>
      </c>
      <c r="E13" s="74">
        <v>100</v>
      </c>
      <c r="F13" s="75">
        <f>IF(E13="","",E13/100*$D13)</f>
        <v>2464.09</v>
      </c>
      <c r="G13" s="74">
        <v>0</v>
      </c>
      <c r="H13" s="75">
        <f>IF(G13="","",G13/100*$D13)</f>
        <v>0</v>
      </c>
      <c r="I13" s="74">
        <v>0</v>
      </c>
      <c r="J13" s="76">
        <f>IF(I13="","",I13/100*$D13)</f>
        <v>0</v>
      </c>
    </row>
    <row r="14" spans="1:10" ht="27" customHeight="1">
      <c r="A14" s="67" t="str">
        <f>'Orçamento '!B16</f>
        <v>6.2</v>
      </c>
      <c r="B14" s="72" t="str">
        <f>'Orçamento '!C16</f>
        <v>Pavimentação com blocos de concreto intertravados</v>
      </c>
      <c r="C14" s="85">
        <f>D14/D21</f>
        <v>0.5723173930615271</v>
      </c>
      <c r="D14" s="73">
        <f>'Orçamento '!L26</f>
        <v>241260.46000000002</v>
      </c>
      <c r="E14" s="74">
        <v>20</v>
      </c>
      <c r="F14" s="75">
        <f>IF(E14="","",E14/100*$D14)</f>
        <v>48252.092000000004</v>
      </c>
      <c r="G14" s="74">
        <v>60</v>
      </c>
      <c r="H14" s="75">
        <f>IF(G14="","",G14/100*$D14)</f>
        <v>144756.276</v>
      </c>
      <c r="I14" s="74">
        <v>20</v>
      </c>
      <c r="J14" s="76">
        <f>IF(I14="","",I14/100*$D14)</f>
        <v>48252.092000000004</v>
      </c>
    </row>
    <row r="15" spans="1:10" ht="20.25" customHeight="1">
      <c r="A15" s="67" t="str">
        <f>'Orçamento '!B27</f>
        <v>6.3</v>
      </c>
      <c r="B15" s="72" t="str">
        <f>'Orçamento '!C27</f>
        <v>Acessibilidade </v>
      </c>
      <c r="C15" s="86">
        <f>D15/D21</f>
        <v>0.011812972839693953</v>
      </c>
      <c r="D15" s="73">
        <f>'Orçamento '!L35</f>
        <v>4979.759999999999</v>
      </c>
      <c r="E15" s="74">
        <v>20</v>
      </c>
      <c r="F15" s="75">
        <f>IF(E15="","",E15/100*$D15)</f>
        <v>995.9519999999999</v>
      </c>
      <c r="G15" s="74">
        <v>20</v>
      </c>
      <c r="H15" s="75">
        <f>IF(G15="","",G15/100*$D15)</f>
        <v>995.9519999999999</v>
      </c>
      <c r="I15" s="74">
        <v>60</v>
      </c>
      <c r="J15" s="76">
        <f>IF(I15="","",I15/100*$D15)</f>
        <v>2987.8559999999993</v>
      </c>
    </row>
    <row r="16" spans="1:10" ht="20.25" customHeight="1">
      <c r="A16" s="67" t="str">
        <f>'Orçamento '!B36</f>
        <v>6.4</v>
      </c>
      <c r="B16" s="72" t="str">
        <f>'Orçamento '!C36</f>
        <v>Sianalização Viária</v>
      </c>
      <c r="C16" s="85">
        <f>D16/D21</f>
        <v>0.002895432763616168</v>
      </c>
      <c r="D16" s="73">
        <f>'Orçamento '!L41</f>
        <v>1220.57</v>
      </c>
      <c r="E16" s="74">
        <v>10</v>
      </c>
      <c r="F16" s="75">
        <f>IF(E16="","",E16/100*$D16)</f>
        <v>122.057</v>
      </c>
      <c r="G16" s="74">
        <v>40</v>
      </c>
      <c r="H16" s="75">
        <f>IF(G16="","",G16/100*$D16)</f>
        <v>488.228</v>
      </c>
      <c r="I16" s="74">
        <v>50</v>
      </c>
      <c r="J16" s="76">
        <f>IF(I16="","",I16/100*$D16)</f>
        <v>610.285</v>
      </c>
    </row>
    <row r="17" spans="1:10" ht="20.25" customHeight="1">
      <c r="A17" s="67" t="str">
        <f>'Orçamento '!B42</f>
        <v>6.5</v>
      </c>
      <c r="B17" s="72" t="str">
        <f>'Orçamento '!C42</f>
        <v>Drenagem (equivalente até a rua Almirante Alexandrino de Alencar)</v>
      </c>
      <c r="C17" s="85">
        <f>D17/D21</f>
        <v>0.2808976849751029</v>
      </c>
      <c r="D17" s="73">
        <f>'Orçamento '!L49</f>
        <v>118412.45000000001</v>
      </c>
      <c r="E17" s="74">
        <v>60</v>
      </c>
      <c r="F17" s="75">
        <f>D17*0.6</f>
        <v>71047.47</v>
      </c>
      <c r="G17" s="74">
        <v>20</v>
      </c>
      <c r="H17" s="75">
        <f>D17*0.2</f>
        <v>23682.490000000005</v>
      </c>
      <c r="I17" s="74">
        <v>20</v>
      </c>
      <c r="J17" s="76">
        <f>D17*0.2</f>
        <v>23682.490000000005</v>
      </c>
    </row>
    <row r="18" spans="1:12" ht="20.25" customHeight="1">
      <c r="A18" s="67" t="str">
        <f>'Orçamento '!B50</f>
        <v>6.7</v>
      </c>
      <c r="B18" s="72" t="str">
        <f>'Orçamento '!C50</f>
        <v>Calçadas em concreto magro (e=7cm) inclui canteiro corrido (L=60cm)</v>
      </c>
      <c r="C18" s="85">
        <f>D18/D21</f>
        <v>0.11621164088890876</v>
      </c>
      <c r="D18" s="73">
        <f>'Orçamento '!L60</f>
        <v>48989.03</v>
      </c>
      <c r="E18" s="74">
        <v>0</v>
      </c>
      <c r="F18" s="75">
        <v>0</v>
      </c>
      <c r="G18" s="74">
        <v>40</v>
      </c>
      <c r="H18" s="75">
        <f>D18*0.4</f>
        <v>19595.612</v>
      </c>
      <c r="I18" s="74">
        <v>60</v>
      </c>
      <c r="J18" s="76">
        <f>D18*0.6</f>
        <v>29393.417999999998</v>
      </c>
      <c r="L18" s="15"/>
    </row>
    <row r="19" spans="1:10" ht="20.25" customHeight="1">
      <c r="A19" s="67" t="str">
        <f>'Orçamento '!B61</f>
        <v>6.8</v>
      </c>
      <c r="B19" s="72" t="str">
        <f>'Orçamento '!C61</f>
        <v>Serviços finais</v>
      </c>
      <c r="C19" s="85">
        <f>D19/D21</f>
        <v>0.010019568017666984</v>
      </c>
      <c r="D19" s="73">
        <f>'Orçamento '!L63</f>
        <v>4223.75</v>
      </c>
      <c r="E19" s="74">
        <v>0</v>
      </c>
      <c r="F19" s="75">
        <f>IF(E19="","",E19/100*$D19)</f>
        <v>0</v>
      </c>
      <c r="G19" s="74">
        <v>0</v>
      </c>
      <c r="H19" s="75">
        <f>IF(G19="","",G19/100*$D19)</f>
        <v>0</v>
      </c>
      <c r="I19" s="74">
        <v>100</v>
      </c>
      <c r="J19" s="76">
        <f>IF(I19="","",I19/100*$D19)</f>
        <v>4223.75</v>
      </c>
    </row>
    <row r="20" spans="1:10" ht="16.5" customHeight="1">
      <c r="A20" s="68"/>
      <c r="B20" s="7"/>
      <c r="C20" s="9"/>
      <c r="D20" s="10"/>
      <c r="E20" s="7"/>
      <c r="F20" s="10"/>
      <c r="G20" s="7"/>
      <c r="H20" s="10"/>
      <c r="I20" s="7"/>
      <c r="J20" s="69"/>
    </row>
    <row r="21" spans="1:12" ht="21" customHeight="1">
      <c r="A21" s="148" t="s">
        <v>9</v>
      </c>
      <c r="B21" s="77" t="s">
        <v>29</v>
      </c>
      <c r="C21" s="150">
        <f>SUM(C13:C19)</f>
        <v>0.9999999999999999</v>
      </c>
      <c r="D21" s="152">
        <f>'Orçamento '!L64</f>
        <v>421550.1100000001</v>
      </c>
      <c r="E21" s="78">
        <f>ROUND(IF(F21="","",F21/$D21*100),2)</f>
        <v>29.15</v>
      </c>
      <c r="F21" s="79">
        <f>SUM(F13:F19)</f>
        <v>122881.661</v>
      </c>
      <c r="G21" s="78">
        <f>ROUND(IF(H21="","",H21/$D21*100),2)</f>
        <v>44.96</v>
      </c>
      <c r="H21" s="79">
        <f>SUM(H13:H19)</f>
        <v>189518.558</v>
      </c>
      <c r="I21" s="78">
        <f>ROUND(IF(J21="","",J21/$D21*100),2)</f>
        <v>25.89</v>
      </c>
      <c r="J21" s="80">
        <f>SUM(J13:J19)</f>
        <v>109149.891</v>
      </c>
      <c r="L21" s="15"/>
    </row>
    <row r="22" spans="1:10" ht="18.75" customHeight="1" thickBot="1">
      <c r="A22" s="149"/>
      <c r="B22" s="81" t="s">
        <v>30</v>
      </c>
      <c r="C22" s="151"/>
      <c r="D22" s="153"/>
      <c r="E22" s="82">
        <f>ROUND(IF(F22="","",F22/$D21*100),2)</f>
        <v>29.15</v>
      </c>
      <c r="F22" s="83">
        <f>IF(F21="","",F21)</f>
        <v>122881.661</v>
      </c>
      <c r="G22" s="82">
        <f>ROUND(IF(H22="","",H22/$D21*100),2)</f>
        <v>74.11</v>
      </c>
      <c r="H22" s="83">
        <f>F21+H21</f>
        <v>312400.219</v>
      </c>
      <c r="I22" s="82">
        <f>ROUND(IF(J22="","",J22/$D21*100),2)</f>
        <v>100</v>
      </c>
      <c r="J22" s="84">
        <f>F21+H21+J21</f>
        <v>421550.11</v>
      </c>
    </row>
    <row r="23" spans="1:2" ht="12.75">
      <c r="A23" s="11"/>
      <c r="B23" s="12"/>
    </row>
    <row r="24" spans="1:6" ht="12.75">
      <c r="A24" s="145"/>
      <c r="B24" s="145"/>
      <c r="C24" s="145"/>
      <c r="D24" s="145"/>
      <c r="E24" s="145"/>
      <c r="F24" s="145"/>
    </row>
    <row r="25" spans="2:6" ht="12.75">
      <c r="B25" s="13"/>
      <c r="C25" s="13"/>
      <c r="D25" s="13"/>
      <c r="E25" s="13"/>
      <c r="F25" s="13"/>
    </row>
    <row r="26" spans="2:6" ht="12.75">
      <c r="B26" s="13"/>
      <c r="C26" s="13"/>
      <c r="D26" s="13"/>
      <c r="E26" s="13"/>
      <c r="F26" s="13"/>
    </row>
    <row r="28" spans="1:10" ht="15" customHeight="1">
      <c r="A28" s="145" t="s">
        <v>187</v>
      </c>
      <c r="B28" s="145"/>
      <c r="C28" s="145"/>
      <c r="D28" s="145"/>
      <c r="E28" s="145"/>
      <c r="F28" s="145"/>
      <c r="G28" s="145"/>
      <c r="H28" s="145"/>
      <c r="I28" s="145"/>
      <c r="J28" s="145"/>
    </row>
    <row r="29" spans="1:10" ht="15" customHeight="1">
      <c r="A29" s="158" t="s">
        <v>188</v>
      </c>
      <c r="B29" s="158"/>
      <c r="C29" s="158"/>
      <c r="D29" s="158"/>
      <c r="E29" s="158"/>
      <c r="F29" s="158"/>
      <c r="G29" s="158"/>
      <c r="H29" s="158"/>
      <c r="I29" s="158"/>
      <c r="J29" s="158"/>
    </row>
    <row r="30" spans="1:9" ht="12.75">
      <c r="A30" s="11"/>
      <c r="B30" s="12"/>
      <c r="C30" s="12"/>
      <c r="D30" s="12"/>
      <c r="E30" s="12"/>
      <c r="F30" s="12"/>
      <c r="I30" s="15"/>
    </row>
    <row r="31" spans="1:6" ht="12.75">
      <c r="A31" s="11"/>
      <c r="B31" s="12"/>
      <c r="C31" s="12"/>
      <c r="D31" s="12"/>
      <c r="E31" s="12"/>
      <c r="F31" s="12"/>
    </row>
    <row r="32" spans="1:6" ht="12.75">
      <c r="A32" s="11"/>
      <c r="B32" s="12"/>
      <c r="C32" s="12"/>
      <c r="D32" s="12"/>
      <c r="E32" s="12"/>
      <c r="F32" s="12"/>
    </row>
  </sheetData>
  <sheetProtection/>
  <mergeCells count="22">
    <mergeCell ref="A28:J28"/>
    <mergeCell ref="A29:J29"/>
    <mergeCell ref="G11:H11"/>
    <mergeCell ref="I10:J10"/>
    <mergeCell ref="I11:J11"/>
    <mergeCell ref="E11:F11"/>
    <mergeCell ref="A1:J4"/>
    <mergeCell ref="A5:J5"/>
    <mergeCell ref="A9:F9"/>
    <mergeCell ref="G10:H10"/>
    <mergeCell ref="E10:F10"/>
    <mergeCell ref="B10:B12"/>
    <mergeCell ref="C10:C12"/>
    <mergeCell ref="A8:J8"/>
    <mergeCell ref="D10:D12"/>
    <mergeCell ref="A6:F6"/>
    <mergeCell ref="A7:J7"/>
    <mergeCell ref="A24:F24"/>
    <mergeCell ref="A10:A12"/>
    <mergeCell ref="A21:A22"/>
    <mergeCell ref="C21:C22"/>
    <mergeCell ref="D21:D22"/>
  </mergeCells>
  <conditionalFormatting sqref="F13:F18 H13:H18 J13:J18">
    <cfRule type="expression" priority="11" dxfId="8" stopIfTrue="1">
      <formula>$E13+#REF!+#REF!+#REF!+#REF!+#REF!+#REF!+#REF!+#REF!+#REF!+#REF!+#REF!+#REF!+#REF!+#REF!&gt;100</formula>
    </cfRule>
    <cfRule type="expression" priority="12" dxfId="9" stopIfTrue="1">
      <formula>$E13+#REF!+#REF!+#REF!+#REF!+#REF!+#REF!+#REF!+#REF!+#REF!+#REF!+#REF!+#REF!+#REF!+#REF!&lt;100</formula>
    </cfRule>
  </conditionalFormatting>
  <conditionalFormatting sqref="F19">
    <cfRule type="expression" priority="9" dxfId="8" stopIfTrue="1">
      <formula>$E19+#REF!+#REF!+#REF!+#REF!+#REF!+#REF!+#REF!+#REF!+#REF!+#REF!+#REF!+#REF!+#REF!+#REF!&gt;100</formula>
    </cfRule>
    <cfRule type="expression" priority="10" dxfId="9" stopIfTrue="1">
      <formula>$E19+#REF!+#REF!+#REF!+#REF!+#REF!+#REF!+#REF!+#REF!+#REF!+#REF!+#REF!+#REF!+#REF!+#REF!&lt;100</formula>
    </cfRule>
  </conditionalFormatting>
  <conditionalFormatting sqref="H19">
    <cfRule type="expression" priority="5" dxfId="8" stopIfTrue="1">
      <formula>$E19+#REF!+#REF!+#REF!+#REF!+#REF!+#REF!+#REF!+#REF!+#REF!+#REF!+#REF!+#REF!+#REF!+#REF!&gt;100</formula>
    </cfRule>
    <cfRule type="expression" priority="6" dxfId="9" stopIfTrue="1">
      <formula>$E19+#REF!+#REF!+#REF!+#REF!+#REF!+#REF!+#REF!+#REF!+#REF!+#REF!+#REF!+#REF!+#REF!+#REF!&lt;100</formula>
    </cfRule>
  </conditionalFormatting>
  <conditionalFormatting sqref="J19">
    <cfRule type="expression" priority="1" dxfId="8" stopIfTrue="1">
      <formula>$E19+#REF!+#REF!+#REF!+#REF!+#REF!+#REF!+#REF!+#REF!+#REF!+#REF!+#REF!+#REF!+#REF!+#REF!&gt;100</formula>
    </cfRule>
    <cfRule type="expression" priority="2" dxfId="9" stopIfTrue="1">
      <formula>$E19+#REF!+#REF!+#REF!+#REF!+#REF!+#REF!+#REF!+#REF!+#REF!+#REF!+#REF!+#REF!+#REF!+#REF!&lt;100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9.28125" style="0" bestFit="1" customWidth="1"/>
    <col min="2" max="2" width="63.28125" style="0" customWidth="1"/>
    <col min="3" max="3" width="10.8515625" style="0" customWidth="1"/>
    <col min="4" max="4" width="11.421875" style="0" customWidth="1"/>
    <col min="5" max="5" width="16.421875" style="0" customWidth="1"/>
    <col min="6" max="6" width="15.57421875" style="0" customWidth="1"/>
    <col min="7" max="7" width="20.28125" style="0" customWidth="1"/>
  </cols>
  <sheetData>
    <row r="1" spans="1:7" ht="26.25" customHeight="1">
      <c r="A1" s="103" t="s">
        <v>152</v>
      </c>
      <c r="B1" s="164" t="s">
        <v>162</v>
      </c>
      <c r="C1" s="164"/>
      <c r="D1" s="164"/>
      <c r="E1" s="164"/>
      <c r="F1" s="104"/>
      <c r="G1" s="105" t="s">
        <v>153</v>
      </c>
    </row>
    <row r="2" spans="1:7" ht="27" customHeight="1" thickBot="1">
      <c r="A2" s="106" t="s">
        <v>154</v>
      </c>
      <c r="B2" s="165" t="s">
        <v>164</v>
      </c>
      <c r="C2" s="165"/>
      <c r="D2" s="107"/>
      <c r="E2" s="108"/>
      <c r="F2" s="162" t="s">
        <v>163</v>
      </c>
      <c r="G2" s="163"/>
    </row>
    <row r="3" spans="1:7" ht="15">
      <c r="A3" s="62"/>
      <c r="B3" s="63"/>
      <c r="C3" s="63"/>
      <c r="D3" s="63"/>
      <c r="E3" s="64"/>
      <c r="F3" s="65"/>
      <c r="G3" s="65"/>
    </row>
    <row r="4" spans="1:7" ht="25.5">
      <c r="A4" s="109" t="s">
        <v>11</v>
      </c>
      <c r="B4" s="110" t="s">
        <v>155</v>
      </c>
      <c r="C4" s="110" t="s">
        <v>156</v>
      </c>
      <c r="D4" s="110" t="s">
        <v>157</v>
      </c>
      <c r="E4" s="111" t="s">
        <v>158</v>
      </c>
      <c r="F4" s="112" t="s">
        <v>159</v>
      </c>
      <c r="G4" s="112" t="s">
        <v>160</v>
      </c>
    </row>
    <row r="5" spans="1:7" ht="15">
      <c r="A5" s="113" t="s">
        <v>66</v>
      </c>
      <c r="B5" s="114" t="s">
        <v>166</v>
      </c>
      <c r="C5" s="115"/>
      <c r="D5" s="115"/>
      <c r="E5" s="115"/>
      <c r="F5" s="116"/>
      <c r="G5" s="116"/>
    </row>
    <row r="6" spans="1:7" ht="24">
      <c r="A6" s="113" t="s">
        <v>165</v>
      </c>
      <c r="B6" s="114" t="s">
        <v>53</v>
      </c>
      <c r="C6" s="115" t="s">
        <v>161</v>
      </c>
      <c r="D6" s="115" t="s">
        <v>178</v>
      </c>
      <c r="E6" s="116">
        <v>1</v>
      </c>
      <c r="F6" s="117">
        <f>G6/E6</f>
        <v>47.1892</v>
      </c>
      <c r="G6" s="118">
        <f>SUM(G7:G12)</f>
        <v>47.1892</v>
      </c>
    </row>
    <row r="7" spans="1:7" ht="15">
      <c r="A7" s="119">
        <v>367</v>
      </c>
      <c r="B7" s="120" t="s">
        <v>170</v>
      </c>
      <c r="C7" s="121" t="s">
        <v>171</v>
      </c>
      <c r="D7" s="121" t="s">
        <v>168</v>
      </c>
      <c r="E7" s="122">
        <v>0.08</v>
      </c>
      <c r="F7" s="122">
        <v>51.75</v>
      </c>
      <c r="G7" s="122">
        <f aca="true" t="shared" si="0" ref="G7:G12">E7*F7</f>
        <v>4.14</v>
      </c>
    </row>
    <row r="8" spans="1:7" ht="15">
      <c r="A8" s="119" t="s">
        <v>172</v>
      </c>
      <c r="B8" s="120" t="s">
        <v>169</v>
      </c>
      <c r="C8" s="121" t="s">
        <v>171</v>
      </c>
      <c r="D8" s="121" t="s">
        <v>167</v>
      </c>
      <c r="E8" s="122">
        <v>1</v>
      </c>
      <c r="F8" s="122">
        <v>33.8</v>
      </c>
      <c r="G8" s="122">
        <f t="shared" si="0"/>
        <v>33.8</v>
      </c>
    </row>
    <row r="9" spans="1:7" ht="15">
      <c r="A9" s="119">
        <v>4741</v>
      </c>
      <c r="B9" s="120" t="s">
        <v>173</v>
      </c>
      <c r="C9" s="121" t="s">
        <v>171</v>
      </c>
      <c r="D9" s="121" t="s">
        <v>168</v>
      </c>
      <c r="E9" s="123">
        <v>0.12</v>
      </c>
      <c r="F9" s="122">
        <v>38.16</v>
      </c>
      <c r="G9" s="122">
        <f t="shared" si="0"/>
        <v>4.579199999999999</v>
      </c>
    </row>
    <row r="10" spans="1:7" ht="15">
      <c r="A10" s="119">
        <v>4759</v>
      </c>
      <c r="B10" s="120" t="s">
        <v>174</v>
      </c>
      <c r="C10" s="121" t="s">
        <v>15</v>
      </c>
      <c r="D10" s="121" t="s">
        <v>175</v>
      </c>
      <c r="E10" s="122">
        <v>0.2</v>
      </c>
      <c r="F10" s="122">
        <v>9.18</v>
      </c>
      <c r="G10" s="122">
        <f t="shared" si="0"/>
        <v>1.836</v>
      </c>
    </row>
    <row r="11" spans="1:7" ht="15">
      <c r="A11" s="119">
        <v>6111</v>
      </c>
      <c r="B11" s="120" t="s">
        <v>176</v>
      </c>
      <c r="C11" s="121" t="s">
        <v>15</v>
      </c>
      <c r="D11" s="121" t="s">
        <v>175</v>
      </c>
      <c r="E11" s="122">
        <v>0.35</v>
      </c>
      <c r="F11" s="122">
        <v>7.39</v>
      </c>
      <c r="G11" s="122">
        <f t="shared" si="0"/>
        <v>2.5864999999999996</v>
      </c>
    </row>
    <row r="12" spans="1:7" ht="15">
      <c r="A12" s="119">
        <v>1443</v>
      </c>
      <c r="B12" s="120" t="s">
        <v>177</v>
      </c>
      <c r="C12" s="121" t="s">
        <v>171</v>
      </c>
      <c r="D12" s="121" t="s">
        <v>175</v>
      </c>
      <c r="E12" s="122">
        <v>0.11</v>
      </c>
      <c r="F12" s="122">
        <v>2.25</v>
      </c>
      <c r="G12" s="122">
        <f t="shared" si="0"/>
        <v>0.2475</v>
      </c>
    </row>
  </sheetData>
  <sheetProtection/>
  <mergeCells count="3">
    <mergeCell ref="F2:G2"/>
    <mergeCell ref="B1:E1"/>
    <mergeCell ref="B2:C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michele.santos</cp:lastModifiedBy>
  <cp:lastPrinted>2015-02-23T17:13:59Z</cp:lastPrinted>
  <dcterms:created xsi:type="dcterms:W3CDTF">2011-11-04T13:27:42Z</dcterms:created>
  <dcterms:modified xsi:type="dcterms:W3CDTF">2015-04-10T20:31:41Z</dcterms:modified>
  <cp:category/>
  <cp:version/>
  <cp:contentType/>
  <cp:contentStatus/>
</cp:coreProperties>
</file>